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uestos" sheetId="1" state="visible" r:id="rId3"/>
    <sheet name="Flujo mensual" sheetId="2" state="visible" r:id="rId4"/>
    <sheet name="Escenarios" sheetId="3" state="visible" r:id="rId5"/>
    <sheet name="Resum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<sst xmlns="http://schemas.openxmlformats.org/spreadsheetml/2006/main" count="252" uniqueCount="162">
  <si>
    <t xml:space="preserve">Hampiora — Supuestos</t>
  </si>
  <si>
    <t xml:space="preserve">v3 · ago 2026 · USD · Lanzamiento ene-27 · Proyección a dic-28 · Tres escenarios de precio (estudio de mercado)</t>
  </si>
  <si>
    <t xml:space="preserve">LEYENDA</t>
  </si>
  <si>
    <t xml:space="preserve">Texto azul</t>
  </si>
  <si>
    <t xml:space="preserve">Editable</t>
  </si>
  <si>
    <t xml:space="preserve">Fondo amarillo</t>
  </si>
  <si>
    <t xml:space="preserve">Palanca clave</t>
  </si>
  <si>
    <t xml:space="preserve">Texto negro/verde</t>
  </si>
  <si>
    <t xml:space="preserve">Fórmula — no editar</t>
  </si>
  <si>
    <t xml:space="preserve">SELECTORES DE ESCENARIO</t>
  </si>
  <si>
    <t xml:space="preserve">Stack (1 = Documentado · 2 = Equipo/servidores)</t>
  </si>
  <si>
    <t xml:space="preserve">Decisión abierta del tab 2 de la guía</t>
  </si>
  <si>
    <t xml:space="preserve">Escenario de precio (1 = A Ancla · 2 = B Penetración · 3 = C Premium)</t>
  </si>
  <si>
    <t xml:space="preserve">El umbral del 40% en entrevistas decide (doc de pricing)</t>
  </si>
  <si>
    <t xml:space="preserve">PRECIOS POR ESCENARIO (USD/mes)</t>
  </si>
  <si>
    <t xml:space="preserve">A · Ancla</t>
  </si>
  <si>
    <t xml:space="preserve">B · Penetración</t>
  </si>
  <si>
    <t xml:space="preserve">C · Premium</t>
  </si>
  <si>
    <t xml:space="preserve">Precio Starter</t>
  </si>
  <si>
    <t xml:space="preserve">Precio Professional</t>
  </si>
  <si>
    <t xml:space="preserve">Precio Business</t>
  </si>
  <si>
    <t xml:space="preserve">Mix Starter</t>
  </si>
  <si>
    <t xml:space="preserve">Los tres mix suman 100%</t>
  </si>
  <si>
    <t xml:space="preserve">Mix Professional</t>
  </si>
  <si>
    <t xml:space="preserve">Mix Business</t>
  </si>
  <si>
    <t xml:space="preserve">ARPA por escenario</t>
  </si>
  <si>
    <t xml:space="preserve">ARPA activo (según selector)</t>
  </si>
  <si>
    <t xml:space="preserve">CLIENTES</t>
  </si>
  <si>
    <t xml:space="preserve">Churn mensual</t>
  </si>
  <si>
    <t xml:space="preserve">Sensibilidad: &gt;5% mata el modelo</t>
  </si>
  <si>
    <t xml:space="preserve">Multiplicador de altas</t>
  </si>
  <si>
    <t xml:space="preserve">Escenario B suele exigir +30–45% de altas para igualar ingreso; súbelo al comparar</t>
  </si>
  <si>
    <t xml:space="preserve">INGRESOS ADICIONALES</t>
  </si>
  <si>
    <t xml:space="preserve">Comisión telemedicina activa (0/1)</t>
  </si>
  <si>
    <t xml:space="preserve">Recomendación: eximir año 1</t>
  </si>
  <si>
    <t xml:space="preserve">% clínicas con telemedicina</t>
  </si>
  <si>
    <t xml:space="preserve">Teleconsultas por clínica/mes</t>
  </si>
  <si>
    <t xml:space="preserve">Ticket teleconsulta ($)</t>
  </si>
  <si>
    <t xml:space="preserve">% comisión telemedicina</t>
  </si>
  <si>
    <t xml:space="preserve">% clientes con overage AI</t>
  </si>
  <si>
    <t xml:space="preserve">Overage promedio ($/clínica/mes)</t>
  </si>
  <si>
    <t xml:space="preserve">COGS VARIABLE (por clínica/mes)</t>
  </si>
  <si>
    <t xml:space="preserve">IA incluida ($/clínica)</t>
  </si>
  <si>
    <t xml:space="preserve">El ledger AI-02 sustituye este estimado</t>
  </si>
  <si>
    <t xml:space="preserve">WhatsApp Meta ($/clínica)</t>
  </si>
  <si>
    <t xml:space="preserve">Stripe processing (% del ingreso)</t>
  </si>
  <si>
    <t xml:space="preserve">2.9% + $0.30 + intl</t>
  </si>
  <si>
    <t xml:space="preserve">TRANSFERENCIAS USA → CR (Mercury)</t>
  </si>
  <si>
    <t xml:space="preserve">Fee fijo por transferencia mensual ($)</t>
  </si>
  <si>
    <t xml:space="preserve">Wire + intermediarios + banco CR — verificar</t>
  </si>
  <si>
    <t xml:space="preserve">% FX y comisiones sobre lo transferido</t>
  </si>
  <si>
    <t xml:space="preserve">% del ingreso repatriado a CR</t>
  </si>
  <si>
    <t xml:space="preserve">IMPUESTOS, DESCUENTO Y CAJA</t>
  </si>
  <si>
    <t xml:space="preserve">Tasa de impuesto sobre utilidad</t>
  </si>
  <si>
    <t xml:space="preserve">Verificar con contador</t>
  </si>
  <si>
    <t xml:space="preserve">Tasa de descuento anual (VAN)</t>
  </si>
  <si>
    <t xml:space="preserve">Caja inicial ($)</t>
  </si>
  <si>
    <t xml:space="preserve">Hampiora — Flujo de caja mensual (estructura madre · escenario activo)</t>
  </si>
  <si>
    <t xml:space="preserve">El escenario de precio y stack activos se eligen en Supuestos. La hoja Escenarios compara A/B/C en paralelo.</t>
  </si>
  <si>
    <t xml:space="preserve">INPUTS MENSUALES (azul = editable)</t>
  </si>
  <si>
    <t xml:space="preserve">ago-26</t>
  </si>
  <si>
    <t xml:space="preserve">sep-26</t>
  </si>
  <si>
    <t xml:space="preserve">oct-26</t>
  </si>
  <si>
    <t xml:space="preserve">nov-26</t>
  </si>
  <si>
    <t xml:space="preserve">dic-26</t>
  </si>
  <si>
    <t xml:space="preserve">ene-27</t>
  </si>
  <si>
    <t xml:space="preserve">feb-27</t>
  </si>
  <si>
    <t xml:space="preserve">mar-27</t>
  </si>
  <si>
    <t xml:space="preserve">abr-27</t>
  </si>
  <si>
    <t xml:space="preserve">may-27</t>
  </si>
  <si>
    <t xml:space="preserve">jun-27</t>
  </si>
  <si>
    <t xml:space="preserve">jul-27</t>
  </si>
  <si>
    <t xml:space="preserve">ago-27</t>
  </si>
  <si>
    <t xml:space="preserve">sep-27</t>
  </si>
  <si>
    <t xml:space="preserve">oct-27</t>
  </si>
  <si>
    <t xml:space="preserve">nov-27</t>
  </si>
  <si>
    <t xml:space="preserve">dic-27</t>
  </si>
  <si>
    <t xml:space="preserve">ene-28</t>
  </si>
  <si>
    <t xml:space="preserve">feb-28</t>
  </si>
  <si>
    <t xml:space="preserve">mar-28</t>
  </si>
  <si>
    <t xml:space="preserve">abr-28</t>
  </si>
  <si>
    <t xml:space="preserve">may-28</t>
  </si>
  <si>
    <t xml:space="preserve">jun-28</t>
  </si>
  <si>
    <t xml:space="preserve">jul-28</t>
  </si>
  <si>
    <t xml:space="preserve">ago-28</t>
  </si>
  <si>
    <t xml:space="preserve">sep-28</t>
  </si>
  <si>
    <t xml:space="preserve">oct-28</t>
  </si>
  <si>
    <t xml:space="preserve">nov-28</t>
  </si>
  <si>
    <t xml:space="preserve">dic-28</t>
  </si>
  <si>
    <t xml:space="preserve">Altas de clínicas (antes del multiplicador)</t>
  </si>
  <si>
    <t xml:space="preserve">Factor de precio (0.5 = piloto)</t>
  </si>
  <si>
    <t xml:space="preserve">Tools stack documentado</t>
  </si>
  <si>
    <t xml:space="preserve">Tools stack equipo</t>
  </si>
  <si>
    <t xml:space="preserve">IA desarrollo y evals</t>
  </si>
  <si>
    <t xml:space="preserve">Desarrollo y mantenimiento (equipo dev)</t>
  </si>
  <si>
    <t xml:space="preserve">Marketing y ads</t>
  </si>
  <si>
    <t xml:space="preserve">Legal y trámites one-time</t>
  </si>
  <si>
    <t xml:space="preserve">Inversiones one-time (dominios, WABA)</t>
  </si>
  <si>
    <t xml:space="preserve">Clientes activos (fin de mes)</t>
  </si>
  <si>
    <t xml:space="preserve">Unidades de precio (clientes × factor)</t>
  </si>
  <si>
    <t xml:space="preserve">FLUJO DE CAJA — ESTRUCTURA MADRE</t>
  </si>
  <si>
    <t xml:space="preserve">(+)</t>
  </si>
  <si>
    <t xml:space="preserve">Ingreso SaaS</t>
  </si>
  <si>
    <t xml:space="preserve">Comisión telemedicina</t>
  </si>
  <si>
    <t xml:space="preserve">Overage AI Units</t>
  </si>
  <si>
    <t xml:space="preserve">(=)</t>
  </si>
  <si>
    <t xml:space="preserve">Ingreso total (ventas)</t>
  </si>
  <si>
    <t xml:space="preserve">(-)</t>
  </si>
  <si>
    <t xml:space="preserve">Costo de ventas (IA + WhatsApp + Stripe)</t>
  </si>
  <si>
    <t xml:space="preserve">Utilidad bruta</t>
  </si>
  <si>
    <t xml:space="preserve">Gastos administrativos (desarrollo y mantenimiento)</t>
  </si>
  <si>
    <t xml:space="preserve">Gastos por ventas (marketing)</t>
  </si>
  <si>
    <t xml:space="preserve">Gastos operativos (tools + IA dev + legal)</t>
  </si>
  <si>
    <t xml:space="preserve">Gastos por depreciación (sin activos)</t>
  </si>
  <si>
    <t xml:space="preserve">Utilidad operativa</t>
  </si>
  <si>
    <t xml:space="preserve">Gastos financieros (Mercury→CR: wire + FX)</t>
  </si>
  <si>
    <t xml:space="preserve">Utilidad antes de impuestos</t>
  </si>
  <si>
    <t xml:space="preserve">Impuestos (solo utilidad positiva)</t>
  </si>
  <si>
    <t xml:space="preserve">Utilidad neta</t>
  </si>
  <si>
    <t xml:space="preserve">Depreciación (se devuelve)</t>
  </si>
  <si>
    <t xml:space="preserve">Inversiones (dominios, WABA)</t>
  </si>
  <si>
    <t xml:space="preserve">Capital de trabajo</t>
  </si>
  <si>
    <t xml:space="preserve">FLUJO DE CAJA DEL PERIODO</t>
  </si>
  <si>
    <t xml:space="preserve">Caja acumulada</t>
  </si>
  <si>
    <t xml:space="preserve">Desarrollo y mantenimiento: rampa estimada $1k (2026) → $2.5k → $5k (2027) → $8k → $10k (2028) — editable en azul; sustituir por planilla real.</t>
  </si>
  <si>
    <t xml:space="preserve">Comparación de escenarios de precio — A Ancla · B Penetración · C Premium</t>
  </si>
  <si>
    <t xml:space="preserve">Mismos clientes, costos fijos y COGS por clínica; cambia solo el ARPA. El estudio de mercado advierte: B suele exigir +30–45% de altas (usa el multiplicador de Supuestos para probarlo).</t>
  </si>
  <si>
    <t xml:space="preserve">COGS variable por clínicas (compartido)</t>
  </si>
  <si>
    <t xml:space="preserve">Gastos fijos totales (compartido)</t>
  </si>
  <si>
    <t xml:space="preserve">Tele + overage (compartido)</t>
  </si>
  <si>
    <t xml:space="preserve">Inversiones one-time (compartido)</t>
  </si>
  <si>
    <t xml:space="preserve">ESCENARIO A · Ancla ($99/$299/$599)</t>
  </si>
  <si>
    <t xml:space="preserve">Ingreso total</t>
  </si>
  <si>
    <t xml:space="preserve">Flujo del periodo</t>
  </si>
  <si>
    <t xml:space="preserve">ESCENARIO B · Penetración ($59/$199/$449)</t>
  </si>
  <si>
    <t xml:space="preserve">ESCENARIO C · Premium ($149/$399/$799)</t>
  </si>
  <si>
    <t xml:space="preserve">TABLERO COMPARATIVO</t>
  </si>
  <si>
    <t xml:space="preserve">MRR a dic-27</t>
  </si>
  <si>
    <t xml:space="preserve">MRR a dic-28</t>
  </si>
  <si>
    <t xml:space="preserve">Ingresos acumulados (29 m)</t>
  </si>
  <si>
    <t xml:space="preserve">Caja acumulada a dic-28</t>
  </si>
  <si>
    <t xml:space="preserve">Caja mínima (capital requerido)</t>
  </si>
  <si>
    <t xml:space="preserve">Meses con flujo negativo</t>
  </si>
  <si>
    <t xml:space="preserve">TIR anualizada</t>
  </si>
  <si>
    <t xml:space="preserve">VAN (tasa de Supuestos)</t>
  </si>
  <si>
    <t xml:space="preserve">Verificación interna: con el selector de precio en 1, la fila Flujo del periodo del escenario A debe ser idéntica a la del Flujo mensual.</t>
  </si>
  <si>
    <t xml:space="preserve">Hampiora — Resumen ejecutivo (escenario activo)</t>
  </si>
  <si>
    <t xml:space="preserve">RENTABILIDAD</t>
  </si>
  <si>
    <t xml:space="preserve">Del escenario activo (selectores de Supuestos)</t>
  </si>
  <si>
    <t xml:space="preserve">VAN del proyecto</t>
  </si>
  <si>
    <t xml:space="preserve">HITOS</t>
  </si>
  <si>
    <t xml:space="preserve">Clientes a dic-27 / dic-28</t>
  </si>
  <si>
    <t xml:space="preserve">MRR a dic-27 / dic-28</t>
  </si>
  <si>
    <t xml:space="preserve">ARR implícito a dic-28</t>
  </si>
  <si>
    <t xml:space="preserve">CAJA</t>
  </si>
  <si>
    <t xml:space="preserve">El cheque que hay que tener</t>
  </si>
  <si>
    <t xml:space="preserve">Mes de la caja mínima</t>
  </si>
  <si>
    <t xml:space="preserve">Costo total Mercury/FX</t>
  </si>
  <si>
    <t xml:space="preserve">Desarrollo y mantenimiento acumulado</t>
  </si>
  <si>
    <t xml:space="preserve">La rampa $1k→$10k</t>
  </si>
  <si>
    <t xml:space="preserve">Margen bruto a dic-28</t>
  </si>
  <si>
    <t xml:space="preserve">La hoja Escenarios compara A/B/C lado a lado con TIR y VAN propios.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</si>
</sst>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\$#,##0;&quot;($&quot;#,##0\);\-"/>
    <numFmt numFmtId="167" formatCode="0.0%"/>
    <numFmt numFmtId="168" formatCode="0.00"/>
    <numFmt numFmtId="169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35223E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8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35223E"/>
        <bgColor rgb="FF333300"/>
      </patternFill>
    </fill>
    <fill>
      <patternFill patternType="solid">
        <fgColor rgb="FFF5F2EF"/>
        <bgColor rgb="FFFFFFFF"/>
      </patternFill>
    </fill>
    <fill>
      <patternFill patternType="solid">
        <fgColor rgb="FFE4DEE9"/>
        <bgColor rgb="FFF5F2E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35223E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2EF"/>
      <rgbColor rgb="FFCCFFFF"/>
      <rgbColor rgb="FF660066"/>
      <rgbColor rgb="FFFF8080"/>
      <rgbColor rgb="FF0066CC"/>
      <rgbColor rgb="FFE4DE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5223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6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E5" s="2" t="s">
        <v>4</v>
      </c>
    </row>
    <row r="6" customFormat="false" ht="15" hidden="false" customHeight="false" outlineLevel="0" collapsed="false">
      <c r="A6" s="5" t="s">
        <v>5</v>
      </c>
      <c r="E6" s="2" t="s">
        <v>6</v>
      </c>
    </row>
    <row r="7" customFormat="false" ht="15" hidden="false" customHeight="false" outlineLevel="0" collapsed="false">
      <c r="A7" s="6" t="s">
        <v>7</v>
      </c>
      <c r="E7" s="2" t="s">
        <v>8</v>
      </c>
    </row>
    <row r="10" customFormat="false" ht="15" hidden="false" customHeight="false" outlineLevel="0" collapsed="false">
      <c r="A10" s="7" t="s">
        <v>9</v>
      </c>
      <c r="B10" s="7"/>
      <c r="C10" s="7"/>
      <c r="D10" s="7"/>
      <c r="E10" s="7"/>
    </row>
    <row r="11" customFormat="false" ht="15" hidden="false" customHeight="false" outlineLevel="0" collapsed="false">
      <c r="A11" s="6" t="s">
        <v>10</v>
      </c>
      <c r="B11" s="8" t="n">
        <v>1</v>
      </c>
      <c r="E11" s="2" t="s">
        <v>11</v>
      </c>
    </row>
    <row r="12" customFormat="false" ht="15" hidden="false" customHeight="false" outlineLevel="0" collapsed="false">
      <c r="A12" s="6" t="s">
        <v>12</v>
      </c>
      <c r="B12" s="8" t="n">
        <v>1</v>
      </c>
      <c r="E12" s="2" t="s">
        <v>13</v>
      </c>
    </row>
    <row r="13" customFormat="false" ht="15" hidden="false" customHeight="false" outlineLevel="0" collapsed="false">
      <c r="A13" s="7" t="s">
        <v>14</v>
      </c>
      <c r="B13" s="7"/>
      <c r="C13" s="7"/>
      <c r="D13" s="7"/>
      <c r="E13" s="7"/>
    </row>
    <row r="14" customFormat="false" ht="15" hidden="false" customHeight="false" outlineLevel="0" collapsed="false">
      <c r="B14" s="9" t="s">
        <v>15</v>
      </c>
      <c r="C14" s="9" t="s">
        <v>16</v>
      </c>
      <c r="D14" s="9" t="s">
        <v>17</v>
      </c>
    </row>
    <row r="15" customFormat="false" ht="15" hidden="false" customHeight="false" outlineLevel="0" collapsed="false">
      <c r="A15" s="6" t="s">
        <v>18</v>
      </c>
      <c r="B15" s="10" t="n">
        <v>99</v>
      </c>
      <c r="C15" s="10" t="n">
        <v>59</v>
      </c>
      <c r="D15" s="10" t="n">
        <v>149</v>
      </c>
    </row>
    <row r="16" customFormat="false" ht="15" hidden="false" customHeight="false" outlineLevel="0" collapsed="false">
      <c r="A16" s="6" t="s">
        <v>19</v>
      </c>
      <c r="B16" s="10" t="n">
        <v>299</v>
      </c>
      <c r="C16" s="10" t="n">
        <v>199</v>
      </c>
      <c r="D16" s="10" t="n">
        <v>399</v>
      </c>
    </row>
    <row r="17" customFormat="false" ht="15" hidden="false" customHeight="false" outlineLevel="0" collapsed="false">
      <c r="A17" s="6" t="s">
        <v>20</v>
      </c>
      <c r="B17" s="10" t="n">
        <v>599</v>
      </c>
      <c r="C17" s="10" t="n">
        <v>449</v>
      </c>
      <c r="D17" s="10" t="n">
        <v>799</v>
      </c>
    </row>
    <row r="18" customFormat="false" ht="15" hidden="false" customHeight="false" outlineLevel="0" collapsed="false">
      <c r="A18" s="6" t="s">
        <v>21</v>
      </c>
      <c r="B18" s="11" t="n">
        <v>0.3</v>
      </c>
      <c r="E18" s="2" t="s">
        <v>22</v>
      </c>
    </row>
    <row r="19" customFormat="false" ht="15" hidden="false" customHeight="false" outlineLevel="0" collapsed="false">
      <c r="A19" s="6" t="s">
        <v>23</v>
      </c>
      <c r="B19" s="11" t="n">
        <v>0.55</v>
      </c>
    </row>
    <row r="20" customFormat="false" ht="15" hidden="false" customHeight="false" outlineLevel="0" collapsed="false">
      <c r="A20" s="6" t="s">
        <v>24</v>
      </c>
      <c r="B20" s="11" t="n">
        <v>0.15</v>
      </c>
    </row>
    <row r="21" customFormat="false" ht="15" hidden="false" customHeight="false" outlineLevel="0" collapsed="false">
      <c r="A21" s="6" t="s">
        <v>25</v>
      </c>
      <c r="B21" s="12" t="n">
        <f aca="false">B15*$B$18+B16*$B$19+B17*$B$20</f>
        <v>284</v>
      </c>
      <c r="C21" s="12" t="n">
        <f aca="false">C15*$B$18+C16*$B$19+C17*$B$20</f>
        <v>194.5</v>
      </c>
      <c r="D21" s="12" t="n">
        <f aca="false">D15*$B$18+D16*$B$19+D17*$B$20</f>
        <v>384</v>
      </c>
    </row>
    <row r="22" customFormat="false" ht="15" hidden="false" customHeight="false" outlineLevel="0" collapsed="false">
      <c r="A22" s="6" t="s">
        <v>26</v>
      </c>
      <c r="B22" s="13" t="n">
        <f aca="false">CHOOSE(B12,B21,C21,D21)</f>
        <v>284</v>
      </c>
    </row>
    <row r="23" customFormat="false" ht="15" hidden="false" customHeight="false" outlineLevel="0" collapsed="false">
      <c r="A23" s="7" t="s">
        <v>27</v>
      </c>
      <c r="B23" s="7"/>
      <c r="C23" s="7"/>
      <c r="D23" s="7"/>
      <c r="E23" s="7"/>
    </row>
    <row r="24" customFormat="false" ht="15" hidden="false" customHeight="false" outlineLevel="0" collapsed="false">
      <c r="A24" s="6" t="s">
        <v>28</v>
      </c>
      <c r="B24" s="14" t="n">
        <v>0.025</v>
      </c>
      <c r="E24" s="2" t="s">
        <v>29</v>
      </c>
    </row>
    <row r="25" customFormat="false" ht="15" hidden="false" customHeight="false" outlineLevel="0" collapsed="false">
      <c r="A25" s="6" t="s">
        <v>30</v>
      </c>
      <c r="B25" s="14" t="n">
        <v>1</v>
      </c>
      <c r="E25" s="2" t="s">
        <v>31</v>
      </c>
    </row>
    <row r="26" customFormat="false" ht="15" hidden="false" customHeight="false" outlineLevel="0" collapsed="false">
      <c r="A26" s="7" t="s">
        <v>32</v>
      </c>
      <c r="B26" s="7"/>
      <c r="C26" s="7"/>
      <c r="D26" s="7"/>
      <c r="E26" s="7"/>
    </row>
    <row r="27" customFormat="false" ht="15" hidden="false" customHeight="false" outlineLevel="0" collapsed="false">
      <c r="A27" s="6" t="s">
        <v>33</v>
      </c>
      <c r="B27" s="8" t="n">
        <v>0</v>
      </c>
      <c r="E27" s="2" t="s">
        <v>34</v>
      </c>
    </row>
    <row r="28" customFormat="false" ht="15" hidden="false" customHeight="false" outlineLevel="0" collapsed="false">
      <c r="A28" s="6" t="s">
        <v>35</v>
      </c>
      <c r="B28" s="11" t="n">
        <v>0.4</v>
      </c>
    </row>
    <row r="29" customFormat="false" ht="15" hidden="false" customHeight="false" outlineLevel="0" collapsed="false">
      <c r="A29" s="6" t="s">
        <v>36</v>
      </c>
      <c r="B29" s="15" t="n">
        <v>25</v>
      </c>
    </row>
    <row r="30" customFormat="false" ht="15" hidden="false" customHeight="false" outlineLevel="0" collapsed="false">
      <c r="A30" s="6" t="s">
        <v>37</v>
      </c>
      <c r="B30" s="10" t="n">
        <v>30</v>
      </c>
    </row>
    <row r="31" customFormat="false" ht="15" hidden="false" customHeight="false" outlineLevel="0" collapsed="false">
      <c r="A31" s="6" t="s">
        <v>38</v>
      </c>
      <c r="B31" s="11" t="n">
        <v>0.1</v>
      </c>
    </row>
    <row r="32" customFormat="false" ht="15" hidden="false" customHeight="false" outlineLevel="0" collapsed="false">
      <c r="A32" s="6" t="s">
        <v>39</v>
      </c>
      <c r="B32" s="11" t="n">
        <v>0.25</v>
      </c>
    </row>
    <row r="33" customFormat="false" ht="15" hidden="false" customHeight="false" outlineLevel="0" collapsed="false">
      <c r="A33" s="6" t="s">
        <v>40</v>
      </c>
      <c r="B33" s="10" t="n">
        <v>6</v>
      </c>
    </row>
    <row r="34" customFormat="false" ht="15" hidden="false" customHeight="false" outlineLevel="0" collapsed="false">
      <c r="A34" s="7" t="s">
        <v>41</v>
      </c>
      <c r="B34" s="7"/>
      <c r="C34" s="7"/>
      <c r="D34" s="7"/>
      <c r="E34" s="7"/>
    </row>
    <row r="35" customFormat="false" ht="15" hidden="false" customHeight="false" outlineLevel="0" collapsed="false">
      <c r="A35" s="6" t="s">
        <v>42</v>
      </c>
      <c r="B35" s="10" t="n">
        <v>14</v>
      </c>
      <c r="E35" s="2" t="s">
        <v>43</v>
      </c>
    </row>
    <row r="36" customFormat="false" ht="15" hidden="false" customHeight="false" outlineLevel="0" collapsed="false">
      <c r="A36" s="6" t="s">
        <v>44</v>
      </c>
      <c r="B36" s="10" t="n">
        <v>6</v>
      </c>
    </row>
    <row r="37" customFormat="false" ht="15" hidden="false" customHeight="false" outlineLevel="0" collapsed="false">
      <c r="A37" s="6" t="s">
        <v>45</v>
      </c>
      <c r="B37" s="11" t="n">
        <v>0.035</v>
      </c>
      <c r="E37" s="2" t="s">
        <v>46</v>
      </c>
    </row>
    <row r="38" customFormat="false" ht="15" hidden="false" customHeight="false" outlineLevel="0" collapsed="false">
      <c r="A38" s="7" t="s">
        <v>47</v>
      </c>
      <c r="B38" s="7"/>
      <c r="C38" s="7"/>
      <c r="D38" s="7"/>
      <c r="E38" s="7"/>
    </row>
    <row r="39" customFormat="false" ht="15" hidden="false" customHeight="false" outlineLevel="0" collapsed="false">
      <c r="A39" s="6" t="s">
        <v>48</v>
      </c>
      <c r="B39" s="10" t="n">
        <v>35</v>
      </c>
      <c r="E39" s="2" t="s">
        <v>49</v>
      </c>
    </row>
    <row r="40" customFormat="false" ht="15" hidden="false" customHeight="false" outlineLevel="0" collapsed="false">
      <c r="A40" s="6" t="s">
        <v>50</v>
      </c>
      <c r="B40" s="14" t="n">
        <v>0.015</v>
      </c>
    </row>
    <row r="41" customFormat="false" ht="15" hidden="false" customHeight="false" outlineLevel="0" collapsed="false">
      <c r="A41" s="6" t="s">
        <v>51</v>
      </c>
      <c r="B41" s="11" t="n">
        <v>1</v>
      </c>
    </row>
    <row r="42" customFormat="false" ht="15" hidden="false" customHeight="false" outlineLevel="0" collapsed="false">
      <c r="A42" s="7" t="s">
        <v>52</v>
      </c>
      <c r="B42" s="7"/>
      <c r="C42" s="7"/>
      <c r="D42" s="7"/>
      <c r="E42" s="7"/>
    </row>
    <row r="43" customFormat="false" ht="15" hidden="false" customHeight="false" outlineLevel="0" collapsed="false">
      <c r="A43" s="6" t="s">
        <v>53</v>
      </c>
      <c r="B43" s="14" t="n">
        <v>0.1</v>
      </c>
      <c r="E43" s="2" t="s">
        <v>54</v>
      </c>
    </row>
    <row r="44" customFormat="false" ht="15" hidden="false" customHeight="false" outlineLevel="0" collapsed="false">
      <c r="A44" s="6" t="s">
        <v>55</v>
      </c>
      <c r="B44" s="14" t="n">
        <v>0.15</v>
      </c>
    </row>
    <row r="45" customFormat="false" ht="15" hidden="false" customHeight="false" outlineLevel="0" collapsed="false">
      <c r="A45" s="6" t="s">
        <v>56</v>
      </c>
      <c r="B45" s="16" t="n">
        <v>0</v>
      </c>
    </row>
  </sheetData>
  <mergeCells count="7">
    <mergeCell ref="A10:E10"/>
    <mergeCell ref="A13:E13"/>
    <mergeCell ref="A23:E23"/>
    <mergeCell ref="A26:E26"/>
    <mergeCell ref="A34:E34"/>
    <mergeCell ref="A38:E38"/>
    <mergeCell ref="A42:E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2"/>
    <col collapsed="false" customWidth="true" hidden="false" outlineLevel="0" max="31" min="3" style="0" width="10.51"/>
  </cols>
  <sheetData>
    <row r="1" customFormat="false" ht="16.15" hidden="false" customHeight="false" outlineLevel="0" collapsed="false">
      <c r="B1" s="1" t="s">
        <v>57</v>
      </c>
    </row>
    <row r="2" customFormat="false" ht="15" hidden="false" customHeight="false" outlineLevel="0" collapsed="false">
      <c r="B2" s="2" t="s">
        <v>58</v>
      </c>
    </row>
    <row r="4" customFormat="false" ht="15" hidden="false" customHeight="false" outlineLevel="0" collapsed="false">
      <c r="B4" s="17" t="s">
        <v>59</v>
      </c>
      <c r="C4" s="18" t="s">
        <v>60</v>
      </c>
      <c r="D4" s="18" t="s">
        <v>61</v>
      </c>
      <c r="E4" s="18" t="s">
        <v>62</v>
      </c>
      <c r="F4" s="18" t="s">
        <v>63</v>
      </c>
      <c r="G4" s="18" t="s">
        <v>64</v>
      </c>
      <c r="H4" s="18" t="s">
        <v>65</v>
      </c>
      <c r="I4" s="18" t="s">
        <v>66</v>
      </c>
      <c r="J4" s="18" t="s">
        <v>67</v>
      </c>
      <c r="K4" s="18" t="s">
        <v>68</v>
      </c>
      <c r="L4" s="18" t="s">
        <v>69</v>
      </c>
      <c r="M4" s="18" t="s">
        <v>70</v>
      </c>
      <c r="N4" s="18" t="s">
        <v>71</v>
      </c>
      <c r="O4" s="18" t="s">
        <v>72</v>
      </c>
      <c r="P4" s="18" t="s">
        <v>73</v>
      </c>
      <c r="Q4" s="18" t="s">
        <v>74</v>
      </c>
      <c r="R4" s="18" t="s">
        <v>75</v>
      </c>
      <c r="S4" s="18" t="s">
        <v>76</v>
      </c>
      <c r="T4" s="18" t="s">
        <v>77</v>
      </c>
      <c r="U4" s="18" t="s">
        <v>78</v>
      </c>
      <c r="V4" s="18" t="s">
        <v>79</v>
      </c>
      <c r="W4" s="18" t="s">
        <v>80</v>
      </c>
      <c r="X4" s="18" t="s">
        <v>81</v>
      </c>
      <c r="Y4" s="18" t="s">
        <v>82</v>
      </c>
      <c r="Z4" s="18" t="s">
        <v>83</v>
      </c>
      <c r="AA4" s="18" t="s">
        <v>84</v>
      </c>
      <c r="AB4" s="18" t="s">
        <v>85</v>
      </c>
      <c r="AC4" s="18" t="s">
        <v>86</v>
      </c>
      <c r="AD4" s="18" t="s">
        <v>87</v>
      </c>
      <c r="AE4" s="18" t="s">
        <v>88</v>
      </c>
    </row>
    <row r="5" customFormat="false" ht="15" hidden="false" customHeight="false" outlineLevel="0" collapsed="false">
      <c r="B5" s="6" t="s">
        <v>89</v>
      </c>
      <c r="C5" s="10" t="n">
        <v>0</v>
      </c>
      <c r="D5" s="10" t="n">
        <v>0</v>
      </c>
      <c r="E5" s="10" t="n">
        <v>0</v>
      </c>
      <c r="F5" s="10" t="n">
        <v>0</v>
      </c>
      <c r="G5" s="10" t="n">
        <v>2</v>
      </c>
      <c r="H5" s="10" t="n">
        <v>3</v>
      </c>
      <c r="I5" s="10" t="n">
        <v>4</v>
      </c>
      <c r="J5" s="10" t="n">
        <v>5</v>
      </c>
      <c r="K5" s="10" t="n">
        <v>6</v>
      </c>
      <c r="L5" s="10" t="n">
        <v>7</v>
      </c>
      <c r="M5" s="10" t="n">
        <v>8</v>
      </c>
      <c r="N5" s="10" t="n">
        <v>9</v>
      </c>
      <c r="O5" s="10" t="n">
        <v>9</v>
      </c>
      <c r="P5" s="10" t="n">
        <v>10</v>
      </c>
      <c r="Q5" s="10" t="n">
        <v>10</v>
      </c>
      <c r="R5" s="10" t="n">
        <v>10</v>
      </c>
      <c r="S5" s="10" t="n">
        <v>10</v>
      </c>
      <c r="T5" s="10" t="n">
        <v>12</v>
      </c>
      <c r="U5" s="10" t="n">
        <v>12</v>
      </c>
      <c r="V5" s="10" t="n">
        <v>12</v>
      </c>
      <c r="W5" s="10" t="n">
        <v>14</v>
      </c>
      <c r="X5" s="10" t="n">
        <v>14</v>
      </c>
      <c r="Y5" s="10" t="n">
        <v>14</v>
      </c>
      <c r="Z5" s="10" t="n">
        <v>15</v>
      </c>
      <c r="AA5" s="10" t="n">
        <v>15</v>
      </c>
      <c r="AB5" s="10" t="n">
        <v>15</v>
      </c>
      <c r="AC5" s="10" t="n">
        <v>16</v>
      </c>
      <c r="AD5" s="10" t="n">
        <v>16</v>
      </c>
      <c r="AE5" s="10" t="n">
        <v>16</v>
      </c>
    </row>
    <row r="6" customFormat="false" ht="15" hidden="false" customHeight="false" outlineLevel="0" collapsed="false">
      <c r="B6" s="6" t="s">
        <v>90</v>
      </c>
      <c r="C6" s="19" t="n">
        <v>1</v>
      </c>
      <c r="D6" s="19" t="n">
        <v>1</v>
      </c>
      <c r="E6" s="19" t="n">
        <v>1</v>
      </c>
      <c r="F6" s="19" t="n">
        <v>1</v>
      </c>
      <c r="G6" s="19" t="n">
        <v>0.5</v>
      </c>
      <c r="H6" s="19" t="n">
        <v>0.5</v>
      </c>
      <c r="I6" s="19" t="n">
        <v>0.5</v>
      </c>
      <c r="J6" s="19" t="n">
        <v>1</v>
      </c>
      <c r="K6" s="19" t="n">
        <v>1</v>
      </c>
      <c r="L6" s="19" t="n">
        <v>1</v>
      </c>
      <c r="M6" s="19" t="n">
        <v>1</v>
      </c>
      <c r="N6" s="19" t="n">
        <v>1</v>
      </c>
      <c r="O6" s="19" t="n">
        <v>1</v>
      </c>
      <c r="P6" s="19" t="n">
        <v>1</v>
      </c>
      <c r="Q6" s="19" t="n">
        <v>1</v>
      </c>
      <c r="R6" s="19" t="n">
        <v>1</v>
      </c>
      <c r="S6" s="19" t="n">
        <v>1</v>
      </c>
      <c r="T6" s="19" t="n">
        <v>1</v>
      </c>
      <c r="U6" s="19" t="n">
        <v>1</v>
      </c>
      <c r="V6" s="19" t="n">
        <v>1</v>
      </c>
      <c r="W6" s="19" t="n">
        <v>1</v>
      </c>
      <c r="X6" s="19" t="n">
        <v>1</v>
      </c>
      <c r="Y6" s="19" t="n">
        <v>1</v>
      </c>
      <c r="Z6" s="19" t="n">
        <v>1</v>
      </c>
      <c r="AA6" s="19" t="n">
        <v>1</v>
      </c>
      <c r="AB6" s="19" t="n">
        <v>1</v>
      </c>
      <c r="AC6" s="19" t="n">
        <v>1</v>
      </c>
      <c r="AD6" s="19" t="n">
        <v>1</v>
      </c>
      <c r="AE6" s="19" t="n">
        <v>1</v>
      </c>
    </row>
    <row r="7" customFormat="false" ht="15" hidden="false" customHeight="false" outlineLevel="0" collapsed="false">
      <c r="B7" s="6" t="s">
        <v>91</v>
      </c>
      <c r="C7" s="10" t="n">
        <v>25</v>
      </c>
      <c r="D7" s="10" t="n">
        <v>126</v>
      </c>
      <c r="E7" s="10" t="n">
        <v>176</v>
      </c>
      <c r="F7" s="10" t="n">
        <v>281</v>
      </c>
      <c r="G7" s="10" t="n">
        <v>286</v>
      </c>
      <c r="H7" s="10" t="n">
        <v>286</v>
      </c>
      <c r="I7" s="10" t="n">
        <v>286</v>
      </c>
      <c r="J7" s="10" t="n">
        <v>286</v>
      </c>
      <c r="K7" s="10" t="n">
        <v>286</v>
      </c>
      <c r="L7" s="10" t="n">
        <v>286</v>
      </c>
      <c r="M7" s="10" t="n">
        <v>286</v>
      </c>
      <c r="N7" s="10" t="n">
        <v>286</v>
      </c>
      <c r="O7" s="10" t="n">
        <v>286</v>
      </c>
      <c r="P7" s="10" t="n">
        <v>286</v>
      </c>
      <c r="Q7" s="10" t="n">
        <v>286</v>
      </c>
      <c r="R7" s="10" t="n">
        <v>286</v>
      </c>
      <c r="S7" s="10" t="n">
        <v>286</v>
      </c>
      <c r="T7" s="10" t="n">
        <v>320</v>
      </c>
      <c r="U7" s="10" t="n">
        <v>320</v>
      </c>
      <c r="V7" s="10" t="n">
        <v>320</v>
      </c>
      <c r="W7" s="10" t="n">
        <v>320</v>
      </c>
      <c r="X7" s="10" t="n">
        <v>320</v>
      </c>
      <c r="Y7" s="10" t="n">
        <v>320</v>
      </c>
      <c r="Z7" s="10" t="n">
        <v>320</v>
      </c>
      <c r="AA7" s="10" t="n">
        <v>320</v>
      </c>
      <c r="AB7" s="10" t="n">
        <v>320</v>
      </c>
      <c r="AC7" s="10" t="n">
        <v>320</v>
      </c>
      <c r="AD7" s="10" t="n">
        <v>320</v>
      </c>
      <c r="AE7" s="10" t="n">
        <v>320</v>
      </c>
    </row>
    <row r="8" customFormat="false" ht="15" hidden="false" customHeight="false" outlineLevel="0" collapsed="false">
      <c r="B8" s="6" t="s">
        <v>92</v>
      </c>
      <c r="C8" s="10" t="n">
        <v>1025</v>
      </c>
      <c r="D8" s="10" t="n">
        <v>1051</v>
      </c>
      <c r="E8" s="10" t="n">
        <v>1071</v>
      </c>
      <c r="F8" s="10" t="n">
        <v>1071</v>
      </c>
      <c r="G8" s="10" t="n">
        <v>1071</v>
      </c>
      <c r="H8" s="10" t="n">
        <v>1071</v>
      </c>
      <c r="I8" s="10" t="n">
        <v>1071</v>
      </c>
      <c r="J8" s="10" t="n">
        <v>1071</v>
      </c>
      <c r="K8" s="10" t="n">
        <v>1071</v>
      </c>
      <c r="L8" s="10" t="n">
        <v>1071</v>
      </c>
      <c r="M8" s="10" t="n">
        <v>1071</v>
      </c>
      <c r="N8" s="10" t="n">
        <v>1071</v>
      </c>
      <c r="O8" s="10" t="n">
        <v>1071</v>
      </c>
      <c r="P8" s="10" t="n">
        <v>1071</v>
      </c>
      <c r="Q8" s="10" t="n">
        <v>1071</v>
      </c>
      <c r="R8" s="10" t="n">
        <v>1071</v>
      </c>
      <c r="S8" s="10" t="n">
        <v>1071</v>
      </c>
      <c r="T8" s="10" t="n">
        <v>1100</v>
      </c>
      <c r="U8" s="10" t="n">
        <v>1100</v>
      </c>
      <c r="V8" s="10" t="n">
        <v>1100</v>
      </c>
      <c r="W8" s="10" t="n">
        <v>1100</v>
      </c>
      <c r="X8" s="10" t="n">
        <v>1100</v>
      </c>
      <c r="Y8" s="10" t="n">
        <v>1100</v>
      </c>
      <c r="Z8" s="10" t="n">
        <v>1100</v>
      </c>
      <c r="AA8" s="10" t="n">
        <v>1100</v>
      </c>
      <c r="AB8" s="10" t="n">
        <v>1100</v>
      </c>
      <c r="AC8" s="10" t="n">
        <v>1100</v>
      </c>
      <c r="AD8" s="10" t="n">
        <v>1100</v>
      </c>
      <c r="AE8" s="10" t="n">
        <v>1100</v>
      </c>
    </row>
    <row r="9" customFormat="false" ht="15" hidden="false" customHeight="false" outlineLevel="0" collapsed="false">
      <c r="B9" s="6" t="s">
        <v>93</v>
      </c>
      <c r="C9" s="10" t="n">
        <v>40</v>
      </c>
      <c r="D9" s="10" t="n">
        <v>80</v>
      </c>
      <c r="E9" s="10" t="n">
        <v>100</v>
      </c>
      <c r="F9" s="10" t="n">
        <v>120</v>
      </c>
      <c r="G9" s="10" t="n">
        <v>120</v>
      </c>
      <c r="H9" s="10" t="n">
        <v>160</v>
      </c>
      <c r="I9" s="10" t="n">
        <v>150</v>
      </c>
      <c r="J9" s="10" t="n">
        <v>150</v>
      </c>
      <c r="K9" s="10" t="n">
        <v>150</v>
      </c>
      <c r="L9" s="10" t="n">
        <v>150</v>
      </c>
      <c r="M9" s="10" t="n">
        <v>150</v>
      </c>
      <c r="N9" s="10" t="n">
        <v>150</v>
      </c>
      <c r="O9" s="10" t="n">
        <v>150</v>
      </c>
      <c r="P9" s="10" t="n">
        <v>150</v>
      </c>
      <c r="Q9" s="10" t="n">
        <v>150</v>
      </c>
      <c r="R9" s="10" t="n">
        <v>150</v>
      </c>
      <c r="S9" s="10" t="n">
        <v>150</v>
      </c>
      <c r="T9" s="10" t="n">
        <v>180</v>
      </c>
      <c r="U9" s="10" t="n">
        <v>180</v>
      </c>
      <c r="V9" s="10" t="n">
        <v>180</v>
      </c>
      <c r="W9" s="10" t="n">
        <v>180</v>
      </c>
      <c r="X9" s="10" t="n">
        <v>180</v>
      </c>
      <c r="Y9" s="10" t="n">
        <v>180</v>
      </c>
      <c r="Z9" s="10" t="n">
        <v>180</v>
      </c>
      <c r="AA9" s="10" t="n">
        <v>180</v>
      </c>
      <c r="AB9" s="10" t="n">
        <v>180</v>
      </c>
      <c r="AC9" s="10" t="n">
        <v>180</v>
      </c>
      <c r="AD9" s="10" t="n">
        <v>180</v>
      </c>
      <c r="AE9" s="10" t="n">
        <v>180</v>
      </c>
    </row>
    <row r="10" customFormat="false" ht="15" hidden="false" customHeight="false" outlineLevel="0" collapsed="false">
      <c r="B10" s="5" t="s">
        <v>94</v>
      </c>
      <c r="C10" s="10" t="n">
        <v>1000</v>
      </c>
      <c r="D10" s="10" t="n">
        <v>1000</v>
      </c>
      <c r="E10" s="10" t="n">
        <v>1000</v>
      </c>
      <c r="F10" s="10" t="n">
        <v>1000</v>
      </c>
      <c r="G10" s="10" t="n">
        <v>1000</v>
      </c>
      <c r="H10" s="10" t="n">
        <v>2500</v>
      </c>
      <c r="I10" s="10" t="n">
        <v>2500</v>
      </c>
      <c r="J10" s="10" t="n">
        <v>2500</v>
      </c>
      <c r="K10" s="10" t="n">
        <v>2500</v>
      </c>
      <c r="L10" s="10" t="n">
        <v>2500</v>
      </c>
      <c r="M10" s="10" t="n">
        <v>2500</v>
      </c>
      <c r="N10" s="10" t="n">
        <v>5000</v>
      </c>
      <c r="O10" s="10" t="n">
        <v>5000</v>
      </c>
      <c r="P10" s="10" t="n">
        <v>5000</v>
      </c>
      <c r="Q10" s="10" t="n">
        <v>5000</v>
      </c>
      <c r="R10" s="10" t="n">
        <v>5000</v>
      </c>
      <c r="S10" s="10" t="n">
        <v>5000</v>
      </c>
      <c r="T10" s="10" t="n">
        <v>8000</v>
      </c>
      <c r="U10" s="10" t="n">
        <v>8000</v>
      </c>
      <c r="V10" s="10" t="n">
        <v>8000</v>
      </c>
      <c r="W10" s="10" t="n">
        <v>8000</v>
      </c>
      <c r="X10" s="10" t="n">
        <v>8000</v>
      </c>
      <c r="Y10" s="10" t="n">
        <v>8000</v>
      </c>
      <c r="Z10" s="10" t="n">
        <v>10000</v>
      </c>
      <c r="AA10" s="10" t="n">
        <v>10000</v>
      </c>
      <c r="AB10" s="10" t="n">
        <v>10000</v>
      </c>
      <c r="AC10" s="10" t="n">
        <v>10000</v>
      </c>
      <c r="AD10" s="10" t="n">
        <v>10000</v>
      </c>
      <c r="AE10" s="10" t="n">
        <v>10000</v>
      </c>
    </row>
    <row r="11" customFormat="false" ht="15" hidden="false" customHeight="false" outlineLevel="0" collapsed="false">
      <c r="B11" s="5" t="s">
        <v>95</v>
      </c>
      <c r="C11" s="10" t="n">
        <v>0</v>
      </c>
      <c r="D11" s="10" t="n">
        <v>0</v>
      </c>
      <c r="E11" s="10" t="n">
        <v>0</v>
      </c>
      <c r="F11" s="10" t="n">
        <v>0</v>
      </c>
      <c r="G11" s="10" t="n">
        <v>0</v>
      </c>
      <c r="H11" s="10" t="n">
        <v>0</v>
      </c>
      <c r="I11" s="10" t="n">
        <v>300</v>
      </c>
      <c r="J11" s="10" t="n">
        <v>300</v>
      </c>
      <c r="K11" s="10" t="n">
        <v>500</v>
      </c>
      <c r="L11" s="10" t="n">
        <v>500</v>
      </c>
      <c r="M11" s="10" t="n">
        <v>500</v>
      </c>
      <c r="N11" s="10" t="n">
        <v>500</v>
      </c>
      <c r="O11" s="10" t="n">
        <v>500</v>
      </c>
      <c r="P11" s="10" t="n">
        <v>700</v>
      </c>
      <c r="Q11" s="10" t="n">
        <v>700</v>
      </c>
      <c r="R11" s="10" t="n">
        <v>700</v>
      </c>
      <c r="S11" s="10" t="n">
        <v>700</v>
      </c>
      <c r="T11" s="10" t="n">
        <v>1000</v>
      </c>
      <c r="U11" s="10" t="n">
        <v>1000</v>
      </c>
      <c r="V11" s="10" t="n">
        <v>1000</v>
      </c>
      <c r="W11" s="10" t="n">
        <v>1000</v>
      </c>
      <c r="X11" s="10" t="n">
        <v>1000</v>
      </c>
      <c r="Y11" s="10" t="n">
        <v>1000</v>
      </c>
      <c r="Z11" s="10" t="n">
        <v>1000</v>
      </c>
      <c r="AA11" s="10" t="n">
        <v>1000</v>
      </c>
      <c r="AB11" s="10" t="n">
        <v>1000</v>
      </c>
      <c r="AC11" s="10" t="n">
        <v>1000</v>
      </c>
      <c r="AD11" s="10" t="n">
        <v>1000</v>
      </c>
      <c r="AE11" s="10" t="n">
        <v>1000</v>
      </c>
    </row>
    <row r="12" customFormat="false" ht="15" hidden="false" customHeight="false" outlineLevel="0" collapsed="false">
      <c r="B12" s="6" t="s">
        <v>96</v>
      </c>
      <c r="C12" s="10" t="n">
        <v>0</v>
      </c>
      <c r="D12" s="10" t="n">
        <v>0</v>
      </c>
      <c r="E12" s="10" t="n">
        <v>800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v>0</v>
      </c>
      <c r="L12" s="10" t="n">
        <v>0</v>
      </c>
      <c r="M12" s="10" t="n">
        <v>0</v>
      </c>
      <c r="N12" s="10" t="n">
        <v>0</v>
      </c>
      <c r="O12" s="10" t="n">
        <v>0</v>
      </c>
      <c r="P12" s="10" t="n">
        <v>0</v>
      </c>
      <c r="Q12" s="10" t="n">
        <v>0</v>
      </c>
      <c r="R12" s="10" t="n">
        <v>0</v>
      </c>
      <c r="S12" s="10" t="n">
        <v>0</v>
      </c>
      <c r="T12" s="10" t="n">
        <v>0</v>
      </c>
      <c r="U12" s="10" t="n">
        <v>0</v>
      </c>
      <c r="V12" s="10" t="n">
        <v>0</v>
      </c>
      <c r="W12" s="10" t="n">
        <v>0</v>
      </c>
      <c r="X12" s="10" t="n">
        <v>0</v>
      </c>
      <c r="Y12" s="10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0</v>
      </c>
      <c r="AE12" s="10" t="n">
        <v>0</v>
      </c>
    </row>
    <row r="13" customFormat="false" ht="15" hidden="false" customHeight="false" outlineLevel="0" collapsed="false">
      <c r="B13" s="6" t="s">
        <v>97</v>
      </c>
      <c r="C13" s="10" t="n">
        <v>150</v>
      </c>
      <c r="D13" s="10" t="n">
        <v>0</v>
      </c>
      <c r="E13" s="10" t="n">
        <v>0</v>
      </c>
      <c r="F13" s="10" t="n">
        <v>0</v>
      </c>
      <c r="G13" s="10" t="n">
        <v>0</v>
      </c>
      <c r="H13" s="10" t="n">
        <v>0</v>
      </c>
      <c r="I13" s="10" t="n">
        <v>0</v>
      </c>
      <c r="J13" s="10" t="n">
        <v>0</v>
      </c>
      <c r="K13" s="10" t="n">
        <v>0</v>
      </c>
      <c r="L13" s="10" t="n">
        <v>0</v>
      </c>
      <c r="M13" s="10" t="n">
        <v>0</v>
      </c>
      <c r="N13" s="10" t="n">
        <v>0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  <c r="V13" s="10" t="n">
        <v>0</v>
      </c>
      <c r="W13" s="10" t="n">
        <v>0</v>
      </c>
      <c r="X13" s="10" t="n">
        <v>0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</row>
    <row r="15" customFormat="false" ht="15" hidden="false" customHeight="false" outlineLevel="0" collapsed="false">
      <c r="B15" s="3" t="s">
        <v>98</v>
      </c>
      <c r="C15" s="20" t="n">
        <f aca="false">C5*Supuestos!$B$25</f>
        <v>0</v>
      </c>
      <c r="D15" s="20" t="n">
        <f aca="false">C15*(1-Supuestos!$B$24)+D5*Supuestos!$B$25</f>
        <v>0</v>
      </c>
      <c r="E15" s="20" t="n">
        <f aca="false">D15*(1-Supuestos!$B$24)+E5*Supuestos!$B$25</f>
        <v>0</v>
      </c>
      <c r="F15" s="20" t="n">
        <f aca="false">E15*(1-Supuestos!$B$24)+F5*Supuestos!$B$25</f>
        <v>0</v>
      </c>
      <c r="G15" s="20" t="n">
        <f aca="false">F15*(1-Supuestos!$B$24)+G5*Supuestos!$B$25</f>
        <v>2</v>
      </c>
      <c r="H15" s="20" t="n">
        <f aca="false">G15*(1-Supuestos!$B$24)+H5*Supuestos!$B$25</f>
        <v>4.95</v>
      </c>
      <c r="I15" s="20" t="n">
        <f aca="false">H15*(1-Supuestos!$B$24)+I5*Supuestos!$B$25</f>
        <v>8.82625</v>
      </c>
      <c r="J15" s="20" t="n">
        <f aca="false">I15*(1-Supuestos!$B$24)+J5*Supuestos!$B$25</f>
        <v>13.60559375</v>
      </c>
      <c r="K15" s="20" t="n">
        <f aca="false">J15*(1-Supuestos!$B$24)+K5*Supuestos!$B$25</f>
        <v>19.26545390625</v>
      </c>
      <c r="L15" s="20" t="n">
        <f aca="false">K15*(1-Supuestos!$B$24)+L5*Supuestos!$B$25</f>
        <v>25.7838175585938</v>
      </c>
      <c r="M15" s="20" t="n">
        <f aca="false">L15*(1-Supuestos!$B$24)+M5*Supuestos!$B$25</f>
        <v>33.1392221196289</v>
      </c>
      <c r="N15" s="20" t="n">
        <f aca="false">M15*(1-Supuestos!$B$24)+N5*Supuestos!$B$25</f>
        <v>41.3107415666382</v>
      </c>
      <c r="O15" s="20" t="n">
        <f aca="false">N15*(1-Supuestos!$B$24)+O5*Supuestos!$B$25</f>
        <v>49.2779730274722</v>
      </c>
      <c r="P15" s="20" t="n">
        <f aca="false">O15*(1-Supuestos!$B$24)+P5*Supuestos!$B$25</f>
        <v>58.0460237017854</v>
      </c>
      <c r="Q15" s="20" t="n">
        <f aca="false">P15*(1-Supuestos!$B$24)+Q5*Supuestos!$B$25</f>
        <v>66.5948731092408</v>
      </c>
      <c r="R15" s="20" t="n">
        <f aca="false">Q15*(1-Supuestos!$B$24)+R5*Supuestos!$B$25</f>
        <v>74.9300012815098</v>
      </c>
      <c r="S15" s="20" t="n">
        <f aca="false">R15*(1-Supuestos!$B$24)+S5*Supuestos!$B$25</f>
        <v>83.056751249472</v>
      </c>
      <c r="T15" s="20" t="n">
        <f aca="false">S15*(1-Supuestos!$B$24)+T5*Supuestos!$B$25</f>
        <v>92.9803324682352</v>
      </c>
      <c r="U15" s="20" t="n">
        <f aca="false">T15*(1-Supuestos!$B$24)+U5*Supuestos!$B$25</f>
        <v>102.655824156529</v>
      </c>
      <c r="V15" s="20" t="n">
        <f aca="false">U15*(1-Supuestos!$B$24)+V5*Supuestos!$B$25</f>
        <v>112.089428552616</v>
      </c>
      <c r="W15" s="20" t="n">
        <f aca="false">V15*(1-Supuestos!$B$24)+W5*Supuestos!$B$25</f>
        <v>123.287192838801</v>
      </c>
      <c r="X15" s="20" t="n">
        <f aca="false">W15*(1-Supuestos!$B$24)+X5*Supuestos!$B$25</f>
        <v>134.205013017831</v>
      </c>
      <c r="Y15" s="20" t="n">
        <f aca="false">X15*(1-Supuestos!$B$24)+Y5*Supuestos!$B$25</f>
        <v>144.849887692385</v>
      </c>
      <c r="Z15" s="20" t="n">
        <f aca="false">Y15*(1-Supuestos!$B$24)+Z5*Supuestos!$B$25</f>
        <v>156.228640500075</v>
      </c>
      <c r="AA15" s="20" t="n">
        <f aca="false">Z15*(1-Supuestos!$B$24)+AA5*Supuestos!$B$25</f>
        <v>167.322924487573</v>
      </c>
      <c r="AB15" s="20" t="n">
        <f aca="false">AA15*(1-Supuestos!$B$24)+AB5*Supuestos!$B$25</f>
        <v>178.139851375384</v>
      </c>
      <c r="AC15" s="20" t="n">
        <f aca="false">AB15*(1-Supuestos!$B$24)+AC5*Supuestos!$B$25</f>
        <v>189.686355090999</v>
      </c>
      <c r="AD15" s="20" t="n">
        <f aca="false">AC15*(1-Supuestos!$B$24)+AD5*Supuestos!$B$25</f>
        <v>200.944196213724</v>
      </c>
      <c r="AE15" s="20" t="n">
        <f aca="false">AD15*(1-Supuestos!$B$24)+AE5*Supuestos!$B$25</f>
        <v>211.920591308381</v>
      </c>
    </row>
    <row r="16" customFormat="false" ht="15" hidden="false" customHeight="false" outlineLevel="0" collapsed="false">
      <c r="B16" s="6" t="s">
        <v>99</v>
      </c>
      <c r="C16" s="20" t="n">
        <f aca="false">C15*C6</f>
        <v>0</v>
      </c>
      <c r="D16" s="20" t="n">
        <f aca="false">D15*D6</f>
        <v>0</v>
      </c>
      <c r="E16" s="20" t="n">
        <f aca="false">E15*E6</f>
        <v>0</v>
      </c>
      <c r="F16" s="20" t="n">
        <f aca="false">F15*F6</f>
        <v>0</v>
      </c>
      <c r="G16" s="20" t="n">
        <f aca="false">G15*G6</f>
        <v>1</v>
      </c>
      <c r="H16" s="20" t="n">
        <f aca="false">H15*H6</f>
        <v>2.475</v>
      </c>
      <c r="I16" s="20" t="n">
        <f aca="false">I15*I6</f>
        <v>4.413125</v>
      </c>
      <c r="J16" s="20" t="n">
        <f aca="false">J15*J6</f>
        <v>13.60559375</v>
      </c>
      <c r="K16" s="20" t="n">
        <f aca="false">K15*K6</f>
        <v>19.26545390625</v>
      </c>
      <c r="L16" s="20" t="n">
        <f aca="false">L15*L6</f>
        <v>25.7838175585938</v>
      </c>
      <c r="M16" s="20" t="n">
        <f aca="false">M15*M6</f>
        <v>33.1392221196289</v>
      </c>
      <c r="N16" s="20" t="n">
        <f aca="false">N15*N6</f>
        <v>41.3107415666382</v>
      </c>
      <c r="O16" s="20" t="n">
        <f aca="false">O15*O6</f>
        <v>49.2779730274722</v>
      </c>
      <c r="P16" s="20" t="n">
        <f aca="false">P15*P6</f>
        <v>58.0460237017854</v>
      </c>
      <c r="Q16" s="20" t="n">
        <f aca="false">Q15*Q6</f>
        <v>66.5948731092408</v>
      </c>
      <c r="R16" s="20" t="n">
        <f aca="false">R15*R6</f>
        <v>74.9300012815098</v>
      </c>
      <c r="S16" s="20" t="n">
        <f aca="false">S15*S6</f>
        <v>83.056751249472</v>
      </c>
      <c r="T16" s="20" t="n">
        <f aca="false">T15*T6</f>
        <v>92.9803324682352</v>
      </c>
      <c r="U16" s="20" t="n">
        <f aca="false">U15*U6</f>
        <v>102.655824156529</v>
      </c>
      <c r="V16" s="20" t="n">
        <f aca="false">V15*V6</f>
        <v>112.089428552616</v>
      </c>
      <c r="W16" s="20" t="n">
        <f aca="false">W15*W6</f>
        <v>123.287192838801</v>
      </c>
      <c r="X16" s="20" t="n">
        <f aca="false">X15*X6</f>
        <v>134.205013017831</v>
      </c>
      <c r="Y16" s="20" t="n">
        <f aca="false">Y15*Y6</f>
        <v>144.849887692385</v>
      </c>
      <c r="Z16" s="20" t="n">
        <f aca="false">Z15*Z6</f>
        <v>156.228640500075</v>
      </c>
      <c r="AA16" s="20" t="n">
        <f aca="false">AA15*AA6</f>
        <v>167.322924487573</v>
      </c>
      <c r="AB16" s="20" t="n">
        <f aca="false">AB15*AB6</f>
        <v>178.139851375384</v>
      </c>
      <c r="AC16" s="20" t="n">
        <f aca="false">AC15*AC6</f>
        <v>189.686355090999</v>
      </c>
      <c r="AD16" s="20" t="n">
        <f aca="false">AD15*AD6</f>
        <v>200.944196213724</v>
      </c>
      <c r="AE16" s="20" t="n">
        <f aca="false">AE15*AE6</f>
        <v>211.920591308381</v>
      </c>
    </row>
    <row r="18" customFormat="false" ht="15" hidden="false" customHeight="false" outlineLevel="0" collapsed="false">
      <c r="B18" s="17" t="s">
        <v>100</v>
      </c>
      <c r="C18" s="18" t="s">
        <v>60</v>
      </c>
      <c r="D18" s="18" t="s">
        <v>61</v>
      </c>
      <c r="E18" s="18" t="s">
        <v>62</v>
      </c>
      <c r="F18" s="18" t="s">
        <v>63</v>
      </c>
      <c r="G18" s="18" t="s">
        <v>64</v>
      </c>
      <c r="H18" s="18" t="s">
        <v>65</v>
      </c>
      <c r="I18" s="18" t="s">
        <v>66</v>
      </c>
      <c r="J18" s="18" t="s">
        <v>67</v>
      </c>
      <c r="K18" s="18" t="s">
        <v>68</v>
      </c>
      <c r="L18" s="18" t="s">
        <v>69</v>
      </c>
      <c r="M18" s="18" t="s">
        <v>70</v>
      </c>
      <c r="N18" s="18" t="s">
        <v>71</v>
      </c>
      <c r="O18" s="18" t="s">
        <v>72</v>
      </c>
      <c r="P18" s="18" t="s">
        <v>73</v>
      </c>
      <c r="Q18" s="18" t="s">
        <v>74</v>
      </c>
      <c r="R18" s="18" t="s">
        <v>75</v>
      </c>
      <c r="S18" s="18" t="s">
        <v>76</v>
      </c>
      <c r="T18" s="18" t="s">
        <v>77</v>
      </c>
      <c r="U18" s="18" t="s">
        <v>78</v>
      </c>
      <c r="V18" s="18" t="s">
        <v>79</v>
      </c>
      <c r="W18" s="18" t="s">
        <v>80</v>
      </c>
      <c r="X18" s="18" t="s">
        <v>81</v>
      </c>
      <c r="Y18" s="18" t="s">
        <v>82</v>
      </c>
      <c r="Z18" s="18" t="s">
        <v>83</v>
      </c>
      <c r="AA18" s="18" t="s">
        <v>84</v>
      </c>
      <c r="AB18" s="18" t="s">
        <v>85</v>
      </c>
      <c r="AC18" s="18" t="s">
        <v>86</v>
      </c>
      <c r="AD18" s="18" t="s">
        <v>87</v>
      </c>
      <c r="AE18" s="18" t="s">
        <v>88</v>
      </c>
    </row>
    <row r="19" customFormat="false" ht="15" hidden="false" customHeight="false" outlineLevel="0" collapsed="false">
      <c r="A19" s="6" t="s">
        <v>101</v>
      </c>
      <c r="B19" s="6" t="s">
        <v>102</v>
      </c>
      <c r="C19" s="12" t="n">
        <f aca="false">C16*Supuestos!$B$22</f>
        <v>0</v>
      </c>
      <c r="D19" s="12" t="n">
        <f aca="false">D16*Supuestos!$B$22</f>
        <v>0</v>
      </c>
      <c r="E19" s="12" t="n">
        <f aca="false">E16*Supuestos!$B$22</f>
        <v>0</v>
      </c>
      <c r="F19" s="12" t="n">
        <f aca="false">F16*Supuestos!$B$22</f>
        <v>0</v>
      </c>
      <c r="G19" s="12" t="n">
        <f aca="false">G16*Supuestos!$B$22</f>
        <v>284</v>
      </c>
      <c r="H19" s="12" t="n">
        <f aca="false">H16*Supuestos!$B$22</f>
        <v>702.9</v>
      </c>
      <c r="I19" s="12" t="n">
        <f aca="false">I16*Supuestos!$B$22</f>
        <v>1253.3275</v>
      </c>
      <c r="J19" s="12" t="n">
        <f aca="false">J16*Supuestos!$B$22</f>
        <v>3863.988625</v>
      </c>
      <c r="K19" s="12" t="n">
        <f aca="false">K16*Supuestos!$B$22</f>
        <v>5471.388909375</v>
      </c>
      <c r="L19" s="12" t="n">
        <f aca="false">L16*Supuestos!$B$22</f>
        <v>7322.60418664063</v>
      </c>
      <c r="M19" s="12" t="n">
        <f aca="false">M16*Supuestos!$B$22</f>
        <v>9411.53908197461</v>
      </c>
      <c r="N19" s="12" t="n">
        <f aca="false">N16*Supuestos!$B$22</f>
        <v>11732.2506049252</v>
      </c>
      <c r="O19" s="12" t="n">
        <f aca="false">O16*Supuestos!$B$22</f>
        <v>13994.9443398021</v>
      </c>
      <c r="P19" s="12" t="n">
        <f aca="false">P16*Supuestos!$B$22</f>
        <v>16485.0707313071</v>
      </c>
      <c r="Q19" s="12" t="n">
        <f aca="false">Q16*Supuestos!$B$22</f>
        <v>18912.9439630244</v>
      </c>
      <c r="R19" s="12" t="n">
        <f aca="false">R16*Supuestos!$B$22</f>
        <v>21280.1203639488</v>
      </c>
      <c r="S19" s="12" t="n">
        <f aca="false">S16*Supuestos!$B$22</f>
        <v>23588.1173548501</v>
      </c>
      <c r="T19" s="12" t="n">
        <f aca="false">T16*Supuestos!$B$22</f>
        <v>26406.4144209788</v>
      </c>
      <c r="U19" s="12" t="n">
        <f aca="false">U16*Supuestos!$B$22</f>
        <v>29154.2540604543</v>
      </c>
      <c r="V19" s="12" t="n">
        <f aca="false">V16*Supuestos!$B$22</f>
        <v>31833.397708943</v>
      </c>
      <c r="W19" s="12" t="n">
        <f aca="false">W16*Supuestos!$B$22</f>
        <v>35013.5627662194</v>
      </c>
      <c r="X19" s="12" t="n">
        <f aca="false">X16*Supuestos!$B$22</f>
        <v>38114.2236970639</v>
      </c>
      <c r="Y19" s="12" t="n">
        <f aca="false">Y16*Supuestos!$B$22</f>
        <v>41137.3681046373</v>
      </c>
      <c r="Z19" s="12" t="n">
        <f aca="false">Z16*Supuestos!$B$22</f>
        <v>44368.9339020214</v>
      </c>
      <c r="AA19" s="12" t="n">
        <f aca="false">AA16*Supuestos!$B$22</f>
        <v>47519.7105544708</v>
      </c>
      <c r="AB19" s="12" t="n">
        <f aca="false">AB16*Supuestos!$B$22</f>
        <v>50591.7177906091</v>
      </c>
      <c r="AC19" s="12" t="n">
        <f aca="false">AC16*Supuestos!$B$22</f>
        <v>53870.9248458438</v>
      </c>
      <c r="AD19" s="12" t="n">
        <f aca="false">AD16*Supuestos!$B$22</f>
        <v>57068.1517246977</v>
      </c>
      <c r="AE19" s="12" t="n">
        <f aca="false">AE16*Supuestos!$B$22</f>
        <v>60185.4479315803</v>
      </c>
    </row>
    <row r="20" customFormat="false" ht="15" hidden="false" customHeight="false" outlineLevel="0" collapsed="false">
      <c r="A20" s="6" t="s">
        <v>101</v>
      </c>
      <c r="B20" s="6" t="s">
        <v>103</v>
      </c>
      <c r="C20" s="12" t="n">
        <f aca="false">Supuestos!$B$27*C15*Supuestos!$B$28*Supuestos!$B$29*Supuestos!$B$30*Supuestos!$B$31</f>
        <v>0</v>
      </c>
      <c r="D20" s="12" t="n">
        <f aca="false">Supuestos!$B$27*D15*Supuestos!$B$28*Supuestos!$B$29*Supuestos!$B$30*Supuestos!$B$31</f>
        <v>0</v>
      </c>
      <c r="E20" s="12" t="n">
        <f aca="false">Supuestos!$B$27*E15*Supuestos!$B$28*Supuestos!$B$29*Supuestos!$B$30*Supuestos!$B$31</f>
        <v>0</v>
      </c>
      <c r="F20" s="12" t="n">
        <f aca="false">Supuestos!$B$27*F15*Supuestos!$B$28*Supuestos!$B$29*Supuestos!$B$30*Supuestos!$B$31</f>
        <v>0</v>
      </c>
      <c r="G20" s="12" t="n">
        <f aca="false">Supuestos!$B$27*G15*Supuestos!$B$28*Supuestos!$B$29*Supuestos!$B$30*Supuestos!$B$31</f>
        <v>0</v>
      </c>
      <c r="H20" s="12" t="n">
        <f aca="false">Supuestos!$B$27*H15*Supuestos!$B$28*Supuestos!$B$29*Supuestos!$B$30*Supuestos!$B$31</f>
        <v>0</v>
      </c>
      <c r="I20" s="12" t="n">
        <f aca="false">Supuestos!$B$27*I15*Supuestos!$B$28*Supuestos!$B$29*Supuestos!$B$30*Supuestos!$B$31</f>
        <v>0</v>
      </c>
      <c r="J20" s="12" t="n">
        <f aca="false">Supuestos!$B$27*J15*Supuestos!$B$28*Supuestos!$B$29*Supuestos!$B$30*Supuestos!$B$31</f>
        <v>0</v>
      </c>
      <c r="K20" s="12" t="n">
        <f aca="false">Supuestos!$B$27*K15*Supuestos!$B$28*Supuestos!$B$29*Supuestos!$B$30*Supuestos!$B$31</f>
        <v>0</v>
      </c>
      <c r="L20" s="12" t="n">
        <f aca="false">Supuestos!$B$27*L15*Supuestos!$B$28*Supuestos!$B$29*Supuestos!$B$30*Supuestos!$B$31</f>
        <v>0</v>
      </c>
      <c r="M20" s="12" t="n">
        <f aca="false">Supuestos!$B$27*M15*Supuestos!$B$28*Supuestos!$B$29*Supuestos!$B$30*Supuestos!$B$31</f>
        <v>0</v>
      </c>
      <c r="N20" s="12" t="n">
        <f aca="false">Supuestos!$B$27*N15*Supuestos!$B$28*Supuestos!$B$29*Supuestos!$B$30*Supuestos!$B$31</f>
        <v>0</v>
      </c>
      <c r="O20" s="12" t="n">
        <f aca="false">Supuestos!$B$27*O15*Supuestos!$B$28*Supuestos!$B$29*Supuestos!$B$30*Supuestos!$B$31</f>
        <v>0</v>
      </c>
      <c r="P20" s="12" t="n">
        <f aca="false">Supuestos!$B$27*P15*Supuestos!$B$28*Supuestos!$B$29*Supuestos!$B$30*Supuestos!$B$31</f>
        <v>0</v>
      </c>
      <c r="Q20" s="12" t="n">
        <f aca="false">Supuestos!$B$27*Q15*Supuestos!$B$28*Supuestos!$B$29*Supuestos!$B$30*Supuestos!$B$31</f>
        <v>0</v>
      </c>
      <c r="R20" s="12" t="n">
        <f aca="false">Supuestos!$B$27*R15*Supuestos!$B$28*Supuestos!$B$29*Supuestos!$B$30*Supuestos!$B$31</f>
        <v>0</v>
      </c>
      <c r="S20" s="12" t="n">
        <f aca="false">Supuestos!$B$27*S15*Supuestos!$B$28*Supuestos!$B$29*Supuestos!$B$30*Supuestos!$B$31</f>
        <v>0</v>
      </c>
      <c r="T20" s="12" t="n">
        <f aca="false">Supuestos!$B$27*T15*Supuestos!$B$28*Supuestos!$B$29*Supuestos!$B$30*Supuestos!$B$31</f>
        <v>0</v>
      </c>
      <c r="U20" s="12" t="n">
        <f aca="false">Supuestos!$B$27*U15*Supuestos!$B$28*Supuestos!$B$29*Supuestos!$B$30*Supuestos!$B$31</f>
        <v>0</v>
      </c>
      <c r="V20" s="12" t="n">
        <f aca="false">Supuestos!$B$27*V15*Supuestos!$B$28*Supuestos!$B$29*Supuestos!$B$30*Supuestos!$B$31</f>
        <v>0</v>
      </c>
      <c r="W20" s="12" t="n">
        <f aca="false">Supuestos!$B$27*W15*Supuestos!$B$28*Supuestos!$B$29*Supuestos!$B$30*Supuestos!$B$31</f>
        <v>0</v>
      </c>
      <c r="X20" s="12" t="n">
        <f aca="false">Supuestos!$B$27*X15*Supuestos!$B$28*Supuestos!$B$29*Supuestos!$B$30*Supuestos!$B$31</f>
        <v>0</v>
      </c>
      <c r="Y20" s="12" t="n">
        <f aca="false">Supuestos!$B$27*Y15*Supuestos!$B$28*Supuestos!$B$29*Supuestos!$B$30*Supuestos!$B$31</f>
        <v>0</v>
      </c>
      <c r="Z20" s="12" t="n">
        <f aca="false">Supuestos!$B$27*Z15*Supuestos!$B$28*Supuestos!$B$29*Supuestos!$B$30*Supuestos!$B$31</f>
        <v>0</v>
      </c>
      <c r="AA20" s="12" t="n">
        <f aca="false">Supuestos!$B$27*AA15*Supuestos!$B$28*Supuestos!$B$29*Supuestos!$B$30*Supuestos!$B$31</f>
        <v>0</v>
      </c>
      <c r="AB20" s="12" t="n">
        <f aca="false">Supuestos!$B$27*AB15*Supuestos!$B$28*Supuestos!$B$29*Supuestos!$B$30*Supuestos!$B$31</f>
        <v>0</v>
      </c>
      <c r="AC20" s="12" t="n">
        <f aca="false">Supuestos!$B$27*AC15*Supuestos!$B$28*Supuestos!$B$29*Supuestos!$B$30*Supuestos!$B$31</f>
        <v>0</v>
      </c>
      <c r="AD20" s="12" t="n">
        <f aca="false">Supuestos!$B$27*AD15*Supuestos!$B$28*Supuestos!$B$29*Supuestos!$B$30*Supuestos!$B$31</f>
        <v>0</v>
      </c>
      <c r="AE20" s="12" t="n">
        <f aca="false">Supuestos!$B$27*AE15*Supuestos!$B$28*Supuestos!$B$29*Supuestos!$B$30*Supuestos!$B$31</f>
        <v>0</v>
      </c>
    </row>
    <row r="21" customFormat="false" ht="15" hidden="false" customHeight="false" outlineLevel="0" collapsed="false">
      <c r="A21" s="6" t="s">
        <v>101</v>
      </c>
      <c r="B21" s="6" t="s">
        <v>104</v>
      </c>
      <c r="C21" s="12" t="n">
        <f aca="false">C15*Supuestos!$B$32*Supuestos!$B$33</f>
        <v>0</v>
      </c>
      <c r="D21" s="12" t="n">
        <f aca="false">D15*Supuestos!$B$32*Supuestos!$B$33</f>
        <v>0</v>
      </c>
      <c r="E21" s="12" t="n">
        <f aca="false">E15*Supuestos!$B$32*Supuestos!$B$33</f>
        <v>0</v>
      </c>
      <c r="F21" s="12" t="n">
        <f aca="false">F15*Supuestos!$B$32*Supuestos!$B$33</f>
        <v>0</v>
      </c>
      <c r="G21" s="12" t="n">
        <f aca="false">G15*Supuestos!$B$32*Supuestos!$B$33</f>
        <v>3</v>
      </c>
      <c r="H21" s="12" t="n">
        <f aca="false">H15*Supuestos!$B$32*Supuestos!$B$33</f>
        <v>7.425</v>
      </c>
      <c r="I21" s="12" t="n">
        <f aca="false">I15*Supuestos!$B$32*Supuestos!$B$33</f>
        <v>13.239375</v>
      </c>
      <c r="J21" s="12" t="n">
        <f aca="false">J15*Supuestos!$B$32*Supuestos!$B$33</f>
        <v>20.408390625</v>
      </c>
      <c r="K21" s="12" t="n">
        <f aca="false">K15*Supuestos!$B$32*Supuestos!$B$33</f>
        <v>28.898180859375</v>
      </c>
      <c r="L21" s="12" t="n">
        <f aca="false">L15*Supuestos!$B$32*Supuestos!$B$33</f>
        <v>38.6757263378906</v>
      </c>
      <c r="M21" s="12" t="n">
        <f aca="false">M15*Supuestos!$B$32*Supuestos!$B$33</f>
        <v>49.7088331794434</v>
      </c>
      <c r="N21" s="12" t="n">
        <f aca="false">N15*Supuestos!$B$32*Supuestos!$B$33</f>
        <v>61.9661123499573</v>
      </c>
      <c r="O21" s="12" t="n">
        <f aca="false">O15*Supuestos!$B$32*Supuestos!$B$33</f>
        <v>73.9169595412083</v>
      </c>
      <c r="P21" s="12" t="n">
        <f aca="false">P15*Supuestos!$B$32*Supuestos!$B$33</f>
        <v>87.0690355526781</v>
      </c>
      <c r="Q21" s="12" t="n">
        <f aca="false">Q15*Supuestos!$B$32*Supuestos!$B$33</f>
        <v>99.8923096638612</v>
      </c>
      <c r="R21" s="12" t="n">
        <f aca="false">R15*Supuestos!$B$32*Supuestos!$B$33</f>
        <v>112.395001922265</v>
      </c>
      <c r="S21" s="12" t="n">
        <f aca="false">S15*Supuestos!$B$32*Supuestos!$B$33</f>
        <v>124.585126874208</v>
      </c>
      <c r="T21" s="12" t="n">
        <f aca="false">T15*Supuestos!$B$32*Supuestos!$B$33</f>
        <v>139.470498702353</v>
      </c>
      <c r="U21" s="12" t="n">
        <f aca="false">U15*Supuestos!$B$32*Supuestos!$B$33</f>
        <v>153.983736234794</v>
      </c>
      <c r="V21" s="12" t="n">
        <f aca="false">V15*Supuestos!$B$32*Supuestos!$B$33</f>
        <v>168.134142828924</v>
      </c>
      <c r="W21" s="12" t="n">
        <f aca="false">W15*Supuestos!$B$32*Supuestos!$B$33</f>
        <v>184.930789258201</v>
      </c>
      <c r="X21" s="12" t="n">
        <f aca="false">X15*Supuestos!$B$32*Supuestos!$B$33</f>
        <v>201.307519526746</v>
      </c>
      <c r="Y21" s="12" t="n">
        <f aca="false">Y15*Supuestos!$B$32*Supuestos!$B$33</f>
        <v>217.274831538577</v>
      </c>
      <c r="Z21" s="12" t="n">
        <f aca="false">Z15*Supuestos!$B$32*Supuestos!$B$33</f>
        <v>234.342960750113</v>
      </c>
      <c r="AA21" s="12" t="n">
        <f aca="false">AA15*Supuestos!$B$32*Supuestos!$B$33</f>
        <v>250.98438673136</v>
      </c>
      <c r="AB21" s="12" t="n">
        <f aca="false">AB15*Supuestos!$B$32*Supuestos!$B$33</f>
        <v>267.209777063076</v>
      </c>
      <c r="AC21" s="12" t="n">
        <f aca="false">AC15*Supuestos!$B$32*Supuestos!$B$33</f>
        <v>284.529532636499</v>
      </c>
      <c r="AD21" s="12" t="n">
        <f aca="false">AD15*Supuestos!$B$32*Supuestos!$B$33</f>
        <v>301.416294320587</v>
      </c>
      <c r="AE21" s="12" t="n">
        <f aca="false">AE15*Supuestos!$B$32*Supuestos!$B$33</f>
        <v>317.880886962572</v>
      </c>
    </row>
    <row r="22" customFormat="false" ht="15" hidden="false" customHeight="false" outlineLevel="0" collapsed="false">
      <c r="A22" s="3" t="s">
        <v>105</v>
      </c>
      <c r="B22" s="3" t="s">
        <v>106</v>
      </c>
      <c r="C22" s="21" t="n">
        <f aca="false">SUM(C19:C21)</f>
        <v>0</v>
      </c>
      <c r="D22" s="21" t="n">
        <f aca="false">SUM(D19:D21)</f>
        <v>0</v>
      </c>
      <c r="E22" s="21" t="n">
        <f aca="false">SUM(E19:E21)</f>
        <v>0</v>
      </c>
      <c r="F22" s="21" t="n">
        <f aca="false">SUM(F19:F21)</f>
        <v>0</v>
      </c>
      <c r="G22" s="21" t="n">
        <f aca="false">SUM(G19:G21)</f>
        <v>287</v>
      </c>
      <c r="H22" s="21" t="n">
        <f aca="false">SUM(H19:H21)</f>
        <v>710.325</v>
      </c>
      <c r="I22" s="21" t="n">
        <f aca="false">SUM(I19:I21)</f>
        <v>1266.566875</v>
      </c>
      <c r="J22" s="21" t="n">
        <f aca="false">SUM(J19:J21)</f>
        <v>3884.397015625</v>
      </c>
      <c r="K22" s="21" t="n">
        <f aca="false">SUM(K19:K21)</f>
        <v>5500.28709023438</v>
      </c>
      <c r="L22" s="21" t="n">
        <f aca="false">SUM(L19:L21)</f>
        <v>7361.27991297852</v>
      </c>
      <c r="M22" s="21" t="n">
        <f aca="false">SUM(M19:M21)</f>
        <v>9461.24791515405</v>
      </c>
      <c r="N22" s="21" t="n">
        <f aca="false">SUM(N19:N21)</f>
        <v>11794.2167172752</v>
      </c>
      <c r="O22" s="21" t="n">
        <f aca="false">SUM(O19:O21)</f>
        <v>14068.8612993433</v>
      </c>
      <c r="P22" s="21" t="n">
        <f aca="false">SUM(P19:P21)</f>
        <v>16572.1397668597</v>
      </c>
      <c r="Q22" s="21" t="n">
        <f aca="false">SUM(Q19:Q21)</f>
        <v>19012.8362726882</v>
      </c>
      <c r="R22" s="21" t="n">
        <f aca="false">SUM(R19:R21)</f>
        <v>21392.515365871</v>
      </c>
      <c r="S22" s="21" t="n">
        <f aca="false">SUM(S19:S21)</f>
        <v>23712.7024817243</v>
      </c>
      <c r="T22" s="21" t="n">
        <f aca="false">SUM(T19:T21)</f>
        <v>26545.8849196812</v>
      </c>
      <c r="U22" s="21" t="n">
        <f aca="false">SUM(U19:U21)</f>
        <v>29308.2377966891</v>
      </c>
      <c r="V22" s="21" t="n">
        <f aca="false">SUM(V19:V21)</f>
        <v>32001.5318517719</v>
      </c>
      <c r="W22" s="21" t="n">
        <f aca="false">SUM(W19:W21)</f>
        <v>35198.4935554776</v>
      </c>
      <c r="X22" s="21" t="n">
        <f aca="false">SUM(X19:X21)</f>
        <v>38315.5312165907</v>
      </c>
      <c r="Y22" s="21" t="n">
        <f aca="false">SUM(Y19:Y21)</f>
        <v>41354.6429361759</v>
      </c>
      <c r="Z22" s="21" t="n">
        <f aca="false">SUM(Z19:Z21)</f>
        <v>44603.2768627715</v>
      </c>
      <c r="AA22" s="21" t="n">
        <f aca="false">SUM(AA19:AA21)</f>
        <v>47770.6949412022</v>
      </c>
      <c r="AB22" s="21" t="n">
        <f aca="false">SUM(AB19:AB21)</f>
        <v>50858.9275676721</v>
      </c>
      <c r="AC22" s="21" t="n">
        <f aca="false">SUM(AC19:AC21)</f>
        <v>54155.4543784803</v>
      </c>
      <c r="AD22" s="21" t="n">
        <f aca="false">SUM(AD19:AD21)</f>
        <v>57369.5680190183</v>
      </c>
      <c r="AE22" s="21" t="n">
        <f aca="false">SUM(AE19:AE21)</f>
        <v>60503.3288185429</v>
      </c>
    </row>
    <row r="23" customFormat="false" ht="15" hidden="false" customHeight="false" outlineLevel="0" collapsed="false">
      <c r="A23" s="6" t="s">
        <v>107</v>
      </c>
      <c r="B23" s="6" t="s">
        <v>108</v>
      </c>
      <c r="C23" s="12" t="n">
        <f aca="false">-(C15*(Supuestos!$B$35+Supuestos!$B$36)+C22*Supuestos!$B$37)</f>
        <v>-0</v>
      </c>
      <c r="D23" s="12" t="n">
        <f aca="false">-(D15*(Supuestos!$B$35+Supuestos!$B$36)+D22*Supuestos!$B$37)</f>
        <v>-0</v>
      </c>
      <c r="E23" s="12" t="n">
        <f aca="false">-(E15*(Supuestos!$B$35+Supuestos!$B$36)+E22*Supuestos!$B$37)</f>
        <v>-0</v>
      </c>
      <c r="F23" s="12" t="n">
        <f aca="false">-(F15*(Supuestos!$B$35+Supuestos!$B$36)+F22*Supuestos!$B$37)</f>
        <v>-0</v>
      </c>
      <c r="G23" s="12" t="n">
        <f aca="false">-(G15*(Supuestos!$B$35+Supuestos!$B$36)+G22*Supuestos!$B$37)</f>
        <v>-50.045</v>
      </c>
      <c r="H23" s="12" t="n">
        <f aca="false">-(H15*(Supuestos!$B$35+Supuestos!$B$36)+H22*Supuestos!$B$37)</f>
        <v>-123.861375</v>
      </c>
      <c r="I23" s="12" t="n">
        <f aca="false">-(I15*(Supuestos!$B$35+Supuestos!$B$36)+I22*Supuestos!$B$37)</f>
        <v>-220.854840625</v>
      </c>
      <c r="J23" s="12" t="n">
        <f aca="false">-(J15*(Supuestos!$B$35+Supuestos!$B$36)+J22*Supuestos!$B$37)</f>
        <v>-408.065770546875</v>
      </c>
      <c r="K23" s="12" t="n">
        <f aca="false">-(K15*(Supuestos!$B$35+Supuestos!$B$36)+K22*Supuestos!$B$37)</f>
        <v>-577.819126283203</v>
      </c>
      <c r="L23" s="12" t="n">
        <f aca="false">-(L15*(Supuestos!$B$35+Supuestos!$B$36)+L22*Supuestos!$B$37)</f>
        <v>-773.321148126123</v>
      </c>
      <c r="M23" s="12" t="n">
        <f aca="false">-(M15*(Supuestos!$B$35+Supuestos!$B$36)+M22*Supuestos!$B$37)</f>
        <v>-993.92811942297</v>
      </c>
      <c r="N23" s="12" t="n">
        <f aca="false">-(N15*(Supuestos!$B$35+Supuestos!$B$36)+N22*Supuestos!$B$37)</f>
        <v>-1239.0124164374</v>
      </c>
      <c r="O23" s="12" t="n">
        <f aca="false">-(O15*(Supuestos!$B$35+Supuestos!$B$36)+O22*Supuestos!$B$37)</f>
        <v>-1477.96960602646</v>
      </c>
      <c r="P23" s="12" t="n">
        <f aca="false">-(P15*(Supuestos!$B$35+Supuestos!$B$36)+P22*Supuestos!$B$37)</f>
        <v>-1740.9453658758</v>
      </c>
      <c r="Q23" s="12" t="n">
        <f aca="false">-(Q15*(Supuestos!$B$35+Supuestos!$B$36)+Q22*Supuestos!$B$37)</f>
        <v>-1997.3467317289</v>
      </c>
      <c r="R23" s="12" t="n">
        <f aca="false">-(R15*(Supuestos!$B$35+Supuestos!$B$36)+R22*Supuestos!$B$37)</f>
        <v>-2247.33806343568</v>
      </c>
      <c r="S23" s="12" t="n">
        <f aca="false">-(S15*(Supuestos!$B$35+Supuestos!$B$36)+S22*Supuestos!$B$37)</f>
        <v>-2491.07961184979</v>
      </c>
      <c r="T23" s="12" t="n">
        <f aca="false">-(T15*(Supuestos!$B$35+Supuestos!$B$36)+T22*Supuestos!$B$37)</f>
        <v>-2788.71262155355</v>
      </c>
      <c r="U23" s="12" t="n">
        <f aca="false">-(U15*(Supuestos!$B$35+Supuestos!$B$36)+U22*Supuestos!$B$37)</f>
        <v>-3078.90480601471</v>
      </c>
      <c r="V23" s="12" t="n">
        <f aca="false">-(V15*(Supuestos!$B$35+Supuestos!$B$36)+V22*Supuestos!$B$37)</f>
        <v>-3361.84218586434</v>
      </c>
      <c r="W23" s="12" t="n">
        <f aca="false">-(W15*(Supuestos!$B$35+Supuestos!$B$36)+W22*Supuestos!$B$37)</f>
        <v>-3697.69113121773</v>
      </c>
      <c r="X23" s="12" t="n">
        <f aca="false">-(X15*(Supuestos!$B$35+Supuestos!$B$36)+X22*Supuestos!$B$37)</f>
        <v>-4025.14385293729</v>
      </c>
      <c r="Y23" s="12" t="n">
        <f aca="false">-(Y15*(Supuestos!$B$35+Supuestos!$B$36)+Y22*Supuestos!$B$37)</f>
        <v>-4344.41025661385</v>
      </c>
      <c r="Z23" s="12" t="n">
        <f aca="false">-(Z15*(Supuestos!$B$35+Supuestos!$B$36)+Z22*Supuestos!$B$37)</f>
        <v>-4685.68750019851</v>
      </c>
      <c r="AA23" s="12" t="n">
        <f aca="false">-(AA15*(Supuestos!$B$35+Supuestos!$B$36)+AA22*Supuestos!$B$37)</f>
        <v>-5018.43281269354</v>
      </c>
      <c r="AB23" s="12" t="n">
        <f aca="false">-(AB15*(Supuestos!$B$35+Supuestos!$B$36)+AB22*Supuestos!$B$37)</f>
        <v>-5342.85949237621</v>
      </c>
      <c r="AC23" s="12" t="n">
        <f aca="false">-(AC15*(Supuestos!$B$35+Supuestos!$B$36)+AC22*Supuestos!$B$37)</f>
        <v>-5689.1680050668</v>
      </c>
      <c r="AD23" s="12" t="n">
        <f aca="false">-(AD15*(Supuestos!$B$35+Supuestos!$B$36)+AD22*Supuestos!$B$37)</f>
        <v>-6026.81880494013</v>
      </c>
      <c r="AE23" s="12" t="n">
        <f aca="false">-(AE15*(Supuestos!$B$35+Supuestos!$B$36)+AE22*Supuestos!$B$37)</f>
        <v>-6356.02833481663</v>
      </c>
    </row>
    <row r="24" customFormat="false" ht="15" hidden="false" customHeight="false" outlineLevel="0" collapsed="false">
      <c r="A24" s="3" t="s">
        <v>105</v>
      </c>
      <c r="B24" s="3" t="s">
        <v>109</v>
      </c>
      <c r="C24" s="22" t="n">
        <f aca="false">C22+C23</f>
        <v>0</v>
      </c>
      <c r="D24" s="22" t="n">
        <f aca="false">D22+D23</f>
        <v>0</v>
      </c>
      <c r="E24" s="22" t="n">
        <f aca="false">E22+E23</f>
        <v>0</v>
      </c>
      <c r="F24" s="22" t="n">
        <f aca="false">F22+F23</f>
        <v>0</v>
      </c>
      <c r="G24" s="22" t="n">
        <f aca="false">G22+G23</f>
        <v>236.955</v>
      </c>
      <c r="H24" s="22" t="n">
        <f aca="false">H22+H23</f>
        <v>586.463625</v>
      </c>
      <c r="I24" s="22" t="n">
        <f aca="false">I22+I23</f>
        <v>1045.712034375</v>
      </c>
      <c r="J24" s="22" t="n">
        <f aca="false">J22+J23</f>
        <v>3476.33124507813</v>
      </c>
      <c r="K24" s="22" t="n">
        <f aca="false">K22+K23</f>
        <v>4922.46796395117</v>
      </c>
      <c r="L24" s="22" t="n">
        <f aca="false">L22+L23</f>
        <v>6587.95876485239</v>
      </c>
      <c r="M24" s="22" t="n">
        <f aca="false">M22+M23</f>
        <v>8467.31979573108</v>
      </c>
      <c r="N24" s="22" t="n">
        <f aca="false">N22+N23</f>
        <v>10555.2043008378</v>
      </c>
      <c r="O24" s="22" t="n">
        <f aca="false">O22+O23</f>
        <v>12590.8916933169</v>
      </c>
      <c r="P24" s="22" t="n">
        <f aca="false">P22+P23</f>
        <v>14831.1944009839</v>
      </c>
      <c r="Q24" s="22" t="n">
        <f aca="false">Q22+Q23</f>
        <v>17015.4895409593</v>
      </c>
      <c r="R24" s="22" t="n">
        <f aca="false">R22+R23</f>
        <v>19145.1773024354</v>
      </c>
      <c r="S24" s="22" t="n">
        <f aca="false">S22+S23</f>
        <v>21221.6228698745</v>
      </c>
      <c r="T24" s="22" t="n">
        <f aca="false">T22+T23</f>
        <v>23757.1722981276</v>
      </c>
      <c r="U24" s="22" t="n">
        <f aca="false">U22+U23</f>
        <v>26229.3329906744</v>
      </c>
      <c r="V24" s="22" t="n">
        <f aca="false">V22+V23</f>
        <v>28639.6896659076</v>
      </c>
      <c r="W24" s="22" t="n">
        <f aca="false">W22+W23</f>
        <v>31500.8024242599</v>
      </c>
      <c r="X24" s="22" t="n">
        <f aca="false">X22+X23</f>
        <v>34290.3873636534</v>
      </c>
      <c r="Y24" s="22" t="n">
        <f aca="false">Y22+Y23</f>
        <v>37010.232679562</v>
      </c>
      <c r="Z24" s="22" t="n">
        <f aca="false">Z22+Z23</f>
        <v>39917.589362573</v>
      </c>
      <c r="AA24" s="22" t="n">
        <f aca="false">AA22+AA23</f>
        <v>42752.2621285087</v>
      </c>
      <c r="AB24" s="22" t="n">
        <f aca="false">AB22+AB23</f>
        <v>45516.0680752959</v>
      </c>
      <c r="AC24" s="22" t="n">
        <f aca="false">AC22+AC23</f>
        <v>48466.2863734135</v>
      </c>
      <c r="AD24" s="22" t="n">
        <f aca="false">AD22+AD23</f>
        <v>51342.7492140782</v>
      </c>
      <c r="AE24" s="22" t="n">
        <f aca="false">AE22+AE23</f>
        <v>54147.3004837262</v>
      </c>
    </row>
    <row r="25" customFormat="false" ht="15" hidden="false" customHeight="false" outlineLevel="0" collapsed="false">
      <c r="A25" s="6" t="s">
        <v>107</v>
      </c>
      <c r="B25" s="6" t="s">
        <v>110</v>
      </c>
      <c r="C25" s="12" t="n">
        <f aca="false">-C10</f>
        <v>-1000</v>
      </c>
      <c r="D25" s="12" t="n">
        <f aca="false">-D10</f>
        <v>-1000</v>
      </c>
      <c r="E25" s="12" t="n">
        <f aca="false">-E10</f>
        <v>-1000</v>
      </c>
      <c r="F25" s="12" t="n">
        <f aca="false">-F10</f>
        <v>-1000</v>
      </c>
      <c r="G25" s="12" t="n">
        <f aca="false">-G10</f>
        <v>-1000</v>
      </c>
      <c r="H25" s="12" t="n">
        <f aca="false">-H10</f>
        <v>-2500</v>
      </c>
      <c r="I25" s="12" t="n">
        <f aca="false">-I10</f>
        <v>-2500</v>
      </c>
      <c r="J25" s="12" t="n">
        <f aca="false">-J10</f>
        <v>-2500</v>
      </c>
      <c r="K25" s="12" t="n">
        <f aca="false">-K10</f>
        <v>-2500</v>
      </c>
      <c r="L25" s="12" t="n">
        <f aca="false">-L10</f>
        <v>-2500</v>
      </c>
      <c r="M25" s="12" t="n">
        <f aca="false">-M10</f>
        <v>-2500</v>
      </c>
      <c r="N25" s="12" t="n">
        <f aca="false">-N10</f>
        <v>-5000</v>
      </c>
      <c r="O25" s="12" t="n">
        <f aca="false">-O10</f>
        <v>-5000</v>
      </c>
      <c r="P25" s="12" t="n">
        <f aca="false">-P10</f>
        <v>-5000</v>
      </c>
      <c r="Q25" s="12" t="n">
        <f aca="false">-Q10</f>
        <v>-5000</v>
      </c>
      <c r="R25" s="12" t="n">
        <f aca="false">-R10</f>
        <v>-5000</v>
      </c>
      <c r="S25" s="12" t="n">
        <f aca="false">-S10</f>
        <v>-5000</v>
      </c>
      <c r="T25" s="12" t="n">
        <f aca="false">-T10</f>
        <v>-8000</v>
      </c>
      <c r="U25" s="12" t="n">
        <f aca="false">-U10</f>
        <v>-8000</v>
      </c>
      <c r="V25" s="12" t="n">
        <f aca="false">-V10</f>
        <v>-8000</v>
      </c>
      <c r="W25" s="12" t="n">
        <f aca="false">-W10</f>
        <v>-8000</v>
      </c>
      <c r="X25" s="12" t="n">
        <f aca="false">-X10</f>
        <v>-8000</v>
      </c>
      <c r="Y25" s="12" t="n">
        <f aca="false">-Y10</f>
        <v>-8000</v>
      </c>
      <c r="Z25" s="12" t="n">
        <f aca="false">-Z10</f>
        <v>-10000</v>
      </c>
      <c r="AA25" s="12" t="n">
        <f aca="false">-AA10</f>
        <v>-10000</v>
      </c>
      <c r="AB25" s="12" t="n">
        <f aca="false">-AB10</f>
        <v>-10000</v>
      </c>
      <c r="AC25" s="12" t="n">
        <f aca="false">-AC10</f>
        <v>-10000</v>
      </c>
      <c r="AD25" s="12" t="n">
        <f aca="false">-AD10</f>
        <v>-10000</v>
      </c>
      <c r="AE25" s="12" t="n">
        <f aca="false">-AE10</f>
        <v>-10000</v>
      </c>
    </row>
    <row r="26" customFormat="false" ht="15" hidden="false" customHeight="false" outlineLevel="0" collapsed="false">
      <c r="A26" s="6" t="s">
        <v>107</v>
      </c>
      <c r="B26" s="6" t="s">
        <v>111</v>
      </c>
      <c r="C26" s="12" t="n">
        <f aca="false">-C11</f>
        <v>-0</v>
      </c>
      <c r="D26" s="12" t="n">
        <f aca="false">-D11</f>
        <v>-0</v>
      </c>
      <c r="E26" s="12" t="n">
        <f aca="false">-E11</f>
        <v>-0</v>
      </c>
      <c r="F26" s="12" t="n">
        <f aca="false">-F11</f>
        <v>-0</v>
      </c>
      <c r="G26" s="12" t="n">
        <f aca="false">-G11</f>
        <v>-0</v>
      </c>
      <c r="H26" s="12" t="n">
        <f aca="false">-H11</f>
        <v>-0</v>
      </c>
      <c r="I26" s="12" t="n">
        <f aca="false">-I11</f>
        <v>-300</v>
      </c>
      <c r="J26" s="12" t="n">
        <f aca="false">-J11</f>
        <v>-300</v>
      </c>
      <c r="K26" s="12" t="n">
        <f aca="false">-K11</f>
        <v>-500</v>
      </c>
      <c r="L26" s="12" t="n">
        <f aca="false">-L11</f>
        <v>-500</v>
      </c>
      <c r="M26" s="12" t="n">
        <f aca="false">-M11</f>
        <v>-500</v>
      </c>
      <c r="N26" s="12" t="n">
        <f aca="false">-N11</f>
        <v>-500</v>
      </c>
      <c r="O26" s="12" t="n">
        <f aca="false">-O11</f>
        <v>-500</v>
      </c>
      <c r="P26" s="12" t="n">
        <f aca="false">-P11</f>
        <v>-700</v>
      </c>
      <c r="Q26" s="12" t="n">
        <f aca="false">-Q11</f>
        <v>-700</v>
      </c>
      <c r="R26" s="12" t="n">
        <f aca="false">-R11</f>
        <v>-700</v>
      </c>
      <c r="S26" s="12" t="n">
        <f aca="false">-S11</f>
        <v>-700</v>
      </c>
      <c r="T26" s="12" t="n">
        <f aca="false">-T11</f>
        <v>-1000</v>
      </c>
      <c r="U26" s="12" t="n">
        <f aca="false">-U11</f>
        <v>-1000</v>
      </c>
      <c r="V26" s="12" t="n">
        <f aca="false">-V11</f>
        <v>-1000</v>
      </c>
      <c r="W26" s="12" t="n">
        <f aca="false">-W11</f>
        <v>-1000</v>
      </c>
      <c r="X26" s="12" t="n">
        <f aca="false">-X11</f>
        <v>-1000</v>
      </c>
      <c r="Y26" s="12" t="n">
        <f aca="false">-Y11</f>
        <v>-1000</v>
      </c>
      <c r="Z26" s="12" t="n">
        <f aca="false">-Z11</f>
        <v>-1000</v>
      </c>
      <c r="AA26" s="12" t="n">
        <f aca="false">-AA11</f>
        <v>-1000</v>
      </c>
      <c r="AB26" s="12" t="n">
        <f aca="false">-AB11</f>
        <v>-1000</v>
      </c>
      <c r="AC26" s="12" t="n">
        <f aca="false">-AC11</f>
        <v>-1000</v>
      </c>
      <c r="AD26" s="12" t="n">
        <f aca="false">-AD11</f>
        <v>-1000</v>
      </c>
      <c r="AE26" s="12" t="n">
        <f aca="false">-AE11</f>
        <v>-1000</v>
      </c>
    </row>
    <row r="27" customFormat="false" ht="15" hidden="false" customHeight="false" outlineLevel="0" collapsed="false">
      <c r="A27" s="6" t="s">
        <v>107</v>
      </c>
      <c r="B27" s="6" t="s">
        <v>112</v>
      </c>
      <c r="C27" s="12" t="n">
        <f aca="false">-(IF(Supuestos!$B$11=1,C7,C8)+C9+C12)</f>
        <v>-65</v>
      </c>
      <c r="D27" s="12" t="n">
        <f aca="false">-(IF(Supuestos!$B$11=1,D7,D8)+D9+D12)</f>
        <v>-206</v>
      </c>
      <c r="E27" s="12" t="n">
        <f aca="false">-(IF(Supuestos!$B$11=1,E7,E8)+E9+E12)</f>
        <v>-1076</v>
      </c>
      <c r="F27" s="12" t="n">
        <f aca="false">-(IF(Supuestos!$B$11=1,F7,F8)+F9+F12)</f>
        <v>-401</v>
      </c>
      <c r="G27" s="12" t="n">
        <f aca="false">-(IF(Supuestos!$B$11=1,G7,G8)+G9+G12)</f>
        <v>-406</v>
      </c>
      <c r="H27" s="12" t="n">
        <f aca="false">-(IF(Supuestos!$B$11=1,H7,H8)+H9+H12)</f>
        <v>-446</v>
      </c>
      <c r="I27" s="12" t="n">
        <f aca="false">-(IF(Supuestos!$B$11=1,I7,I8)+I9+I12)</f>
        <v>-436</v>
      </c>
      <c r="J27" s="12" t="n">
        <f aca="false">-(IF(Supuestos!$B$11=1,J7,J8)+J9+J12)</f>
        <v>-436</v>
      </c>
      <c r="K27" s="12" t="n">
        <f aca="false">-(IF(Supuestos!$B$11=1,K7,K8)+K9+K12)</f>
        <v>-436</v>
      </c>
      <c r="L27" s="12" t="n">
        <f aca="false">-(IF(Supuestos!$B$11=1,L7,L8)+L9+L12)</f>
        <v>-436</v>
      </c>
      <c r="M27" s="12" t="n">
        <f aca="false">-(IF(Supuestos!$B$11=1,M7,M8)+M9+M12)</f>
        <v>-436</v>
      </c>
      <c r="N27" s="12" t="n">
        <f aca="false">-(IF(Supuestos!$B$11=1,N7,N8)+N9+N12)</f>
        <v>-436</v>
      </c>
      <c r="O27" s="12" t="n">
        <f aca="false">-(IF(Supuestos!$B$11=1,O7,O8)+O9+O12)</f>
        <v>-436</v>
      </c>
      <c r="P27" s="12" t="n">
        <f aca="false">-(IF(Supuestos!$B$11=1,P7,P8)+P9+P12)</f>
        <v>-436</v>
      </c>
      <c r="Q27" s="12" t="n">
        <f aca="false">-(IF(Supuestos!$B$11=1,Q7,Q8)+Q9+Q12)</f>
        <v>-436</v>
      </c>
      <c r="R27" s="12" t="n">
        <f aca="false">-(IF(Supuestos!$B$11=1,R7,R8)+R9+R12)</f>
        <v>-436</v>
      </c>
      <c r="S27" s="12" t="n">
        <f aca="false">-(IF(Supuestos!$B$11=1,S7,S8)+S9+S12)</f>
        <v>-436</v>
      </c>
      <c r="T27" s="12" t="n">
        <f aca="false">-(IF(Supuestos!$B$11=1,T7,T8)+T9+T12)</f>
        <v>-500</v>
      </c>
      <c r="U27" s="12" t="n">
        <f aca="false">-(IF(Supuestos!$B$11=1,U7,U8)+U9+U12)</f>
        <v>-500</v>
      </c>
      <c r="V27" s="12" t="n">
        <f aca="false">-(IF(Supuestos!$B$11=1,V7,V8)+V9+V12)</f>
        <v>-500</v>
      </c>
      <c r="W27" s="12" t="n">
        <f aca="false">-(IF(Supuestos!$B$11=1,W7,W8)+W9+W12)</f>
        <v>-500</v>
      </c>
      <c r="X27" s="12" t="n">
        <f aca="false">-(IF(Supuestos!$B$11=1,X7,X8)+X9+X12)</f>
        <v>-500</v>
      </c>
      <c r="Y27" s="12" t="n">
        <f aca="false">-(IF(Supuestos!$B$11=1,Y7,Y8)+Y9+Y12)</f>
        <v>-500</v>
      </c>
      <c r="Z27" s="12" t="n">
        <f aca="false">-(IF(Supuestos!$B$11=1,Z7,Z8)+Z9+Z12)</f>
        <v>-500</v>
      </c>
      <c r="AA27" s="12" t="n">
        <f aca="false">-(IF(Supuestos!$B$11=1,AA7,AA8)+AA9+AA12)</f>
        <v>-500</v>
      </c>
      <c r="AB27" s="12" t="n">
        <f aca="false">-(IF(Supuestos!$B$11=1,AB7,AB8)+AB9+AB12)</f>
        <v>-500</v>
      </c>
      <c r="AC27" s="12" t="n">
        <f aca="false">-(IF(Supuestos!$B$11=1,AC7,AC8)+AC9+AC12)</f>
        <v>-500</v>
      </c>
      <c r="AD27" s="12" t="n">
        <f aca="false">-(IF(Supuestos!$B$11=1,AD7,AD8)+AD9+AD12)</f>
        <v>-500</v>
      </c>
      <c r="AE27" s="12" t="n">
        <f aca="false">-(IF(Supuestos!$B$11=1,AE7,AE8)+AE9+AE12)</f>
        <v>-500</v>
      </c>
    </row>
    <row r="28" customFormat="false" ht="15" hidden="false" customHeight="false" outlineLevel="0" collapsed="false">
      <c r="A28" s="6" t="s">
        <v>107</v>
      </c>
      <c r="B28" s="6" t="s">
        <v>113</v>
      </c>
      <c r="C28" s="12" t="n">
        <f aca="false">0</f>
        <v>0</v>
      </c>
      <c r="D28" s="12" t="n">
        <f aca="false">0</f>
        <v>0</v>
      </c>
      <c r="E28" s="12" t="n">
        <f aca="false">0</f>
        <v>0</v>
      </c>
      <c r="F28" s="12" t="n">
        <f aca="false">0</f>
        <v>0</v>
      </c>
      <c r="G28" s="12" t="n">
        <f aca="false">0</f>
        <v>0</v>
      </c>
      <c r="H28" s="12" t="n">
        <f aca="false">0</f>
        <v>0</v>
      </c>
      <c r="I28" s="12" t="n">
        <f aca="false">0</f>
        <v>0</v>
      </c>
      <c r="J28" s="12" t="n">
        <f aca="false">0</f>
        <v>0</v>
      </c>
      <c r="K28" s="12" t="n">
        <f aca="false">0</f>
        <v>0</v>
      </c>
      <c r="L28" s="12" t="n">
        <f aca="false">0</f>
        <v>0</v>
      </c>
      <c r="M28" s="12" t="n">
        <f aca="false">0</f>
        <v>0</v>
      </c>
      <c r="N28" s="12" t="n">
        <f aca="false">0</f>
        <v>0</v>
      </c>
      <c r="O28" s="12" t="n">
        <f aca="false">0</f>
        <v>0</v>
      </c>
      <c r="P28" s="12" t="n">
        <f aca="false">0</f>
        <v>0</v>
      </c>
      <c r="Q28" s="12" t="n">
        <f aca="false">0</f>
        <v>0</v>
      </c>
      <c r="R28" s="12" t="n">
        <f aca="false">0</f>
        <v>0</v>
      </c>
      <c r="S28" s="12" t="n">
        <f aca="false">0</f>
        <v>0</v>
      </c>
      <c r="T28" s="12" t="n">
        <f aca="false">0</f>
        <v>0</v>
      </c>
      <c r="U28" s="12" t="n">
        <f aca="false">0</f>
        <v>0</v>
      </c>
      <c r="V28" s="12" t="n">
        <f aca="false">0</f>
        <v>0</v>
      </c>
      <c r="W28" s="12" t="n">
        <f aca="false">0</f>
        <v>0</v>
      </c>
      <c r="X28" s="12" t="n">
        <f aca="false">0</f>
        <v>0</v>
      </c>
      <c r="Y28" s="12" t="n">
        <f aca="false">0</f>
        <v>0</v>
      </c>
      <c r="Z28" s="12" t="n">
        <f aca="false">0</f>
        <v>0</v>
      </c>
      <c r="AA28" s="12" t="n">
        <f aca="false">0</f>
        <v>0</v>
      </c>
      <c r="AB28" s="12" t="n">
        <f aca="false">0</f>
        <v>0</v>
      </c>
      <c r="AC28" s="12" t="n">
        <f aca="false">0</f>
        <v>0</v>
      </c>
      <c r="AD28" s="12" t="n">
        <f aca="false">0</f>
        <v>0</v>
      </c>
      <c r="AE28" s="12" t="n">
        <f aca="false">0</f>
        <v>0</v>
      </c>
    </row>
    <row r="29" customFormat="false" ht="15" hidden="false" customHeight="false" outlineLevel="0" collapsed="false">
      <c r="A29" s="3" t="s">
        <v>105</v>
      </c>
      <c r="B29" s="3" t="s">
        <v>114</v>
      </c>
      <c r="C29" s="22" t="n">
        <f aca="false">C24+C25+C26+C27+C28</f>
        <v>-1065</v>
      </c>
      <c r="D29" s="22" t="n">
        <f aca="false">D24+D25+D26+D27+D28</f>
        <v>-1206</v>
      </c>
      <c r="E29" s="22" t="n">
        <f aca="false">E24+E25+E26+E27+E28</f>
        <v>-2076</v>
      </c>
      <c r="F29" s="22" t="n">
        <f aca="false">F24+F25+F26+F27+F28</f>
        <v>-1401</v>
      </c>
      <c r="G29" s="22" t="n">
        <f aca="false">G24+G25+G26+G27+G28</f>
        <v>-1169.045</v>
      </c>
      <c r="H29" s="22" t="n">
        <f aca="false">H24+H25+H26+H27+H28</f>
        <v>-2359.536375</v>
      </c>
      <c r="I29" s="22" t="n">
        <f aca="false">I24+I25+I26+I27+I28</f>
        <v>-2190.287965625</v>
      </c>
      <c r="J29" s="22" t="n">
        <f aca="false">J24+J25+J26+J27+J28</f>
        <v>240.331245078125</v>
      </c>
      <c r="K29" s="22" t="n">
        <f aca="false">K24+K25+K26+K27+K28</f>
        <v>1486.46796395117</v>
      </c>
      <c r="L29" s="22" t="n">
        <f aca="false">L24+L25+L26+L27+L28</f>
        <v>3151.95876485239</v>
      </c>
      <c r="M29" s="22" t="n">
        <f aca="false">M24+M25+M26+M27+M28</f>
        <v>5031.31979573108</v>
      </c>
      <c r="N29" s="22" t="n">
        <f aca="false">N24+N25+N26+N27+N28</f>
        <v>4619.2043008378</v>
      </c>
      <c r="O29" s="22" t="n">
        <f aca="false">O24+O25+O26+O27+O28</f>
        <v>6654.89169331686</v>
      </c>
      <c r="P29" s="22" t="n">
        <f aca="false">P24+P25+P26+P27+P28</f>
        <v>8695.19440098394</v>
      </c>
      <c r="Q29" s="22" t="n">
        <f aca="false">Q24+Q25+Q26+Q27+Q28</f>
        <v>10879.4895409593</v>
      </c>
      <c r="R29" s="22" t="n">
        <f aca="false">R24+R25+R26+R27+R28</f>
        <v>13009.1773024354</v>
      </c>
      <c r="S29" s="22" t="n">
        <f aca="false">S24+S25+S26+S27+S28</f>
        <v>15085.6228698745</v>
      </c>
      <c r="T29" s="22" t="n">
        <f aca="false">T24+T25+T26+T27+T28</f>
        <v>14257.1722981276</v>
      </c>
      <c r="U29" s="22" t="n">
        <f aca="false">U24+U25+U26+U27+U28</f>
        <v>16729.3329906744</v>
      </c>
      <c r="V29" s="22" t="n">
        <f aca="false">V24+V25+V26+V27+V28</f>
        <v>19139.6896659076</v>
      </c>
      <c r="W29" s="22" t="n">
        <f aca="false">W24+W25+W26+W27+W28</f>
        <v>22000.8024242599</v>
      </c>
      <c r="X29" s="22" t="n">
        <f aca="false">X24+X25+X26+X27+X28</f>
        <v>24790.3873636534</v>
      </c>
      <c r="Y29" s="22" t="n">
        <f aca="false">Y24+Y25+Y26+Y27+Y28</f>
        <v>27510.232679562</v>
      </c>
      <c r="Z29" s="22" t="n">
        <f aca="false">Z24+Z25+Z26+Z27+Z28</f>
        <v>28417.589362573</v>
      </c>
      <c r="AA29" s="22" t="n">
        <f aca="false">AA24+AA25+AA26+AA27+AA28</f>
        <v>31252.2621285087</v>
      </c>
      <c r="AB29" s="22" t="n">
        <f aca="false">AB24+AB25+AB26+AB27+AB28</f>
        <v>34016.0680752959</v>
      </c>
      <c r="AC29" s="22" t="n">
        <f aca="false">AC24+AC25+AC26+AC27+AC28</f>
        <v>36966.2863734135</v>
      </c>
      <c r="AD29" s="22" t="n">
        <f aca="false">AD24+AD25+AD26+AD27+AD28</f>
        <v>39842.7492140782</v>
      </c>
      <c r="AE29" s="22" t="n">
        <f aca="false">AE24+AE25+AE26+AE27+AE28</f>
        <v>42647.3004837262</v>
      </c>
    </row>
    <row r="30" customFormat="false" ht="15" hidden="false" customHeight="false" outlineLevel="0" collapsed="false">
      <c r="A30" s="6" t="s">
        <v>107</v>
      </c>
      <c r="B30" s="6" t="s">
        <v>115</v>
      </c>
      <c r="C30" s="12" t="n">
        <f aca="false">-IF(C22&gt;0,Supuestos!$B$39+C22*Supuestos!$B$41*Supuestos!$B$40,0)</f>
        <v>-0</v>
      </c>
      <c r="D30" s="12" t="n">
        <f aca="false">-IF(D22&gt;0,Supuestos!$B$39+D22*Supuestos!$B$41*Supuestos!$B$40,0)</f>
        <v>-0</v>
      </c>
      <c r="E30" s="12" t="n">
        <f aca="false">-IF(E22&gt;0,Supuestos!$B$39+E22*Supuestos!$B$41*Supuestos!$B$40,0)</f>
        <v>-0</v>
      </c>
      <c r="F30" s="12" t="n">
        <f aca="false">-IF(F22&gt;0,Supuestos!$B$39+F22*Supuestos!$B$41*Supuestos!$B$40,0)</f>
        <v>-0</v>
      </c>
      <c r="G30" s="12" t="n">
        <f aca="false">-IF(G22&gt;0,Supuestos!$B$39+G22*Supuestos!$B$41*Supuestos!$B$40,0)</f>
        <v>-39.305</v>
      </c>
      <c r="H30" s="12" t="n">
        <f aca="false">-IF(H22&gt;0,Supuestos!$B$39+H22*Supuestos!$B$41*Supuestos!$B$40,0)</f>
        <v>-45.654875</v>
      </c>
      <c r="I30" s="12" t="n">
        <f aca="false">-IF(I22&gt;0,Supuestos!$B$39+I22*Supuestos!$B$41*Supuestos!$B$40,0)</f>
        <v>-53.998503125</v>
      </c>
      <c r="J30" s="12" t="n">
        <f aca="false">-IF(J22&gt;0,Supuestos!$B$39+J22*Supuestos!$B$41*Supuestos!$B$40,0)</f>
        <v>-93.265955234375</v>
      </c>
      <c r="K30" s="12" t="n">
        <f aca="false">-IF(K22&gt;0,Supuestos!$B$39+K22*Supuestos!$B$41*Supuestos!$B$40,0)</f>
        <v>-117.504306353516</v>
      </c>
      <c r="L30" s="12" t="n">
        <f aca="false">-IF(L22&gt;0,Supuestos!$B$39+L22*Supuestos!$B$41*Supuestos!$B$40,0)</f>
        <v>-145.419198694678</v>
      </c>
      <c r="M30" s="12" t="n">
        <f aca="false">-IF(M22&gt;0,Supuestos!$B$39+M22*Supuestos!$B$41*Supuestos!$B$40,0)</f>
        <v>-176.918718727311</v>
      </c>
      <c r="N30" s="12" t="n">
        <f aca="false">-IF(N22&gt;0,Supuestos!$B$39+N22*Supuestos!$B$41*Supuestos!$B$40,0)</f>
        <v>-211.913250759128</v>
      </c>
      <c r="O30" s="12" t="n">
        <f aca="false">-IF(O22&gt;0,Supuestos!$B$39+O22*Supuestos!$B$41*Supuestos!$B$40,0)</f>
        <v>-246.03291949015</v>
      </c>
      <c r="P30" s="12" t="n">
        <f aca="false">-IF(P22&gt;0,Supuestos!$B$39+P22*Supuestos!$B$41*Supuestos!$B$40,0)</f>
        <v>-283.582096502896</v>
      </c>
      <c r="Q30" s="12" t="n">
        <f aca="false">-IF(Q22&gt;0,Supuestos!$B$39+Q22*Supuestos!$B$41*Supuestos!$B$40,0)</f>
        <v>-320.192544090324</v>
      </c>
      <c r="R30" s="12" t="n">
        <f aca="false">-IF(R22&gt;0,Supuestos!$B$39+R22*Supuestos!$B$41*Supuestos!$B$40,0)</f>
        <v>-355.887730488066</v>
      </c>
      <c r="S30" s="12" t="n">
        <f aca="false">-IF(S22&gt;0,Supuestos!$B$39+S22*Supuestos!$B$41*Supuestos!$B$40,0)</f>
        <v>-390.690537225864</v>
      </c>
      <c r="T30" s="12" t="n">
        <f aca="false">-IF(T22&gt;0,Supuestos!$B$39+T22*Supuestos!$B$41*Supuestos!$B$40,0)</f>
        <v>-433.188273795217</v>
      </c>
      <c r="U30" s="12" t="n">
        <f aca="false">-IF(U22&gt;0,Supuestos!$B$39+U22*Supuestos!$B$41*Supuestos!$B$40,0)</f>
        <v>-474.623566950337</v>
      </c>
      <c r="V30" s="12" t="n">
        <f aca="false">-IF(V22&gt;0,Supuestos!$B$39+V22*Supuestos!$B$41*Supuestos!$B$40,0)</f>
        <v>-515.022977776578</v>
      </c>
      <c r="W30" s="12" t="n">
        <f aca="false">-IF(W22&gt;0,Supuestos!$B$39+W22*Supuestos!$B$41*Supuestos!$B$40,0)</f>
        <v>-562.977403332164</v>
      </c>
      <c r="X30" s="12" t="n">
        <f aca="false">-IF(X22&gt;0,Supuestos!$B$39+X22*Supuestos!$B$41*Supuestos!$B$40,0)</f>
        <v>-609.73296824886</v>
      </c>
      <c r="Y30" s="12" t="n">
        <f aca="false">-IF(Y22&gt;0,Supuestos!$B$39+Y22*Supuestos!$B$41*Supuestos!$B$40,0)</f>
        <v>-655.319644042638</v>
      </c>
      <c r="Z30" s="12" t="n">
        <f aca="false">-IF(Z22&gt;0,Supuestos!$B$39+Z22*Supuestos!$B$41*Supuestos!$B$40,0)</f>
        <v>-704.049152941572</v>
      </c>
      <c r="AA30" s="12" t="n">
        <f aca="false">-IF(AA22&gt;0,Supuestos!$B$39+AA22*Supuestos!$B$41*Supuestos!$B$40,0)</f>
        <v>-751.560424118033</v>
      </c>
      <c r="AB30" s="12" t="n">
        <f aca="false">-IF(AB22&gt;0,Supuestos!$B$39+AB22*Supuestos!$B$41*Supuestos!$B$40,0)</f>
        <v>-797.883913515082</v>
      </c>
      <c r="AC30" s="12" t="n">
        <f aca="false">-IF(AC22&gt;0,Supuestos!$B$39+AC22*Supuestos!$B$41*Supuestos!$B$40,0)</f>
        <v>-847.331815677205</v>
      </c>
      <c r="AD30" s="12" t="n">
        <f aca="false">-IF(AD22&gt;0,Supuestos!$B$39+AD22*Supuestos!$B$41*Supuestos!$B$40,0)</f>
        <v>-895.543520285275</v>
      </c>
      <c r="AE30" s="12" t="n">
        <f aca="false">-IF(AE22&gt;0,Supuestos!$B$39+AE22*Supuestos!$B$41*Supuestos!$B$40,0)</f>
        <v>-942.549932278143</v>
      </c>
    </row>
    <row r="31" customFormat="false" ht="15" hidden="false" customHeight="false" outlineLevel="0" collapsed="false">
      <c r="A31" s="3" t="s">
        <v>105</v>
      </c>
      <c r="B31" s="3" t="s">
        <v>116</v>
      </c>
      <c r="C31" s="21" t="n">
        <f aca="false">C29+C30</f>
        <v>-1065</v>
      </c>
      <c r="D31" s="21" t="n">
        <f aca="false">D29+D30</f>
        <v>-1206</v>
      </c>
      <c r="E31" s="21" t="n">
        <f aca="false">E29+E30</f>
        <v>-2076</v>
      </c>
      <c r="F31" s="21" t="n">
        <f aca="false">F29+F30</f>
        <v>-1401</v>
      </c>
      <c r="G31" s="21" t="n">
        <f aca="false">G29+G30</f>
        <v>-1208.35</v>
      </c>
      <c r="H31" s="21" t="n">
        <f aca="false">H29+H30</f>
        <v>-2405.19125</v>
      </c>
      <c r="I31" s="21" t="n">
        <f aca="false">I29+I30</f>
        <v>-2244.28646875</v>
      </c>
      <c r="J31" s="21" t="n">
        <f aca="false">J29+J30</f>
        <v>147.06528984375</v>
      </c>
      <c r="K31" s="21" t="n">
        <f aca="false">K29+K30</f>
        <v>1368.96365759766</v>
      </c>
      <c r="L31" s="21" t="n">
        <f aca="false">L29+L30</f>
        <v>3006.53956615771</v>
      </c>
      <c r="M31" s="21" t="n">
        <f aca="false">M29+M30</f>
        <v>4854.40107700377</v>
      </c>
      <c r="N31" s="21" t="n">
        <f aca="false">N29+N30</f>
        <v>4407.29105007868</v>
      </c>
      <c r="O31" s="21" t="n">
        <f aca="false">O29+O30</f>
        <v>6408.85877382671</v>
      </c>
      <c r="P31" s="21" t="n">
        <f aca="false">P29+P30</f>
        <v>8411.61230448104</v>
      </c>
      <c r="Q31" s="21" t="n">
        <f aca="false">Q29+Q30</f>
        <v>10559.296996869</v>
      </c>
      <c r="R31" s="21" t="n">
        <f aca="false">R29+R30</f>
        <v>12653.2895719473</v>
      </c>
      <c r="S31" s="21" t="n">
        <f aca="false">S29+S30</f>
        <v>14694.9323326486</v>
      </c>
      <c r="T31" s="21" t="n">
        <f aca="false">T29+T30</f>
        <v>13823.9840243324</v>
      </c>
      <c r="U31" s="21" t="n">
        <f aca="false">U29+U30</f>
        <v>16254.7094237241</v>
      </c>
      <c r="V31" s="21" t="n">
        <f aca="false">V29+V30</f>
        <v>18624.666688131</v>
      </c>
      <c r="W31" s="21" t="n">
        <f aca="false">W29+W30</f>
        <v>21437.8250209277</v>
      </c>
      <c r="X31" s="21" t="n">
        <f aca="false">X29+X30</f>
        <v>24180.6543954045</v>
      </c>
      <c r="Y31" s="21" t="n">
        <f aca="false">Y29+Y30</f>
        <v>26854.9130355194</v>
      </c>
      <c r="Z31" s="21" t="n">
        <f aca="false">Z29+Z30</f>
        <v>27713.5402096314</v>
      </c>
      <c r="AA31" s="21" t="n">
        <f aca="false">AA29+AA30</f>
        <v>30500.7017043906</v>
      </c>
      <c r="AB31" s="21" t="n">
        <f aca="false">AB29+AB30</f>
        <v>33218.1841617808</v>
      </c>
      <c r="AC31" s="21" t="n">
        <f aca="false">AC29+AC30</f>
        <v>36118.9545577363</v>
      </c>
      <c r="AD31" s="21" t="n">
        <f aca="false">AD29+AD30</f>
        <v>38947.2056937929</v>
      </c>
      <c r="AE31" s="21" t="n">
        <f aca="false">AE29+AE30</f>
        <v>41704.7505514481</v>
      </c>
    </row>
    <row r="32" customFormat="false" ht="15" hidden="false" customHeight="false" outlineLevel="0" collapsed="false">
      <c r="A32" s="6" t="s">
        <v>107</v>
      </c>
      <c r="B32" s="6" t="s">
        <v>117</v>
      </c>
      <c r="C32" s="12" t="n">
        <f aca="false">-MAX(0,C31)*Supuestos!$B$43</f>
        <v>-0</v>
      </c>
      <c r="D32" s="12" t="n">
        <f aca="false">-MAX(0,D31)*Supuestos!$B$43</f>
        <v>-0</v>
      </c>
      <c r="E32" s="12" t="n">
        <f aca="false">-MAX(0,E31)*Supuestos!$B$43</f>
        <v>-0</v>
      </c>
      <c r="F32" s="12" t="n">
        <f aca="false">-MAX(0,F31)*Supuestos!$B$43</f>
        <v>-0</v>
      </c>
      <c r="G32" s="12" t="n">
        <f aca="false">-MAX(0,G31)*Supuestos!$B$43</f>
        <v>-0</v>
      </c>
      <c r="H32" s="12" t="n">
        <f aca="false">-MAX(0,H31)*Supuestos!$B$43</f>
        <v>-0</v>
      </c>
      <c r="I32" s="12" t="n">
        <f aca="false">-MAX(0,I31)*Supuestos!$B$43</f>
        <v>-0</v>
      </c>
      <c r="J32" s="12" t="n">
        <f aca="false">-MAX(0,J31)*Supuestos!$B$43</f>
        <v>-14.706528984375</v>
      </c>
      <c r="K32" s="12" t="n">
        <f aca="false">-MAX(0,K31)*Supuestos!$B$43</f>
        <v>-136.896365759766</v>
      </c>
      <c r="L32" s="12" t="n">
        <f aca="false">-MAX(0,L31)*Supuestos!$B$43</f>
        <v>-300.653956615771</v>
      </c>
      <c r="M32" s="12" t="n">
        <f aca="false">-MAX(0,M31)*Supuestos!$B$43</f>
        <v>-485.440107700377</v>
      </c>
      <c r="N32" s="12" t="n">
        <f aca="false">-MAX(0,N31)*Supuestos!$B$43</f>
        <v>-440.729105007868</v>
      </c>
      <c r="O32" s="12" t="n">
        <f aca="false">-MAX(0,O31)*Supuestos!$B$43</f>
        <v>-640.885877382671</v>
      </c>
      <c r="P32" s="12" t="n">
        <f aca="false">-MAX(0,P31)*Supuestos!$B$43</f>
        <v>-841.161230448104</v>
      </c>
      <c r="Q32" s="12" t="n">
        <f aca="false">-MAX(0,Q31)*Supuestos!$B$43</f>
        <v>-1055.9296996869</v>
      </c>
      <c r="R32" s="12" t="n">
        <f aca="false">-MAX(0,R31)*Supuestos!$B$43</f>
        <v>-1265.32895719473</v>
      </c>
      <c r="S32" s="12" t="n">
        <f aca="false">-MAX(0,S31)*Supuestos!$B$43</f>
        <v>-1469.49323326486</v>
      </c>
      <c r="T32" s="12" t="n">
        <f aca="false">-MAX(0,T31)*Supuestos!$B$43</f>
        <v>-1382.39840243324</v>
      </c>
      <c r="U32" s="12" t="n">
        <f aca="false">-MAX(0,U31)*Supuestos!$B$43</f>
        <v>-1625.47094237241</v>
      </c>
      <c r="V32" s="12" t="n">
        <f aca="false">-MAX(0,V31)*Supuestos!$B$43</f>
        <v>-1862.4666688131</v>
      </c>
      <c r="W32" s="12" t="n">
        <f aca="false">-MAX(0,W31)*Supuestos!$B$43</f>
        <v>-2143.78250209277</v>
      </c>
      <c r="X32" s="12" t="n">
        <f aca="false">-MAX(0,X31)*Supuestos!$B$43</f>
        <v>-2418.06543954045</v>
      </c>
      <c r="Y32" s="12" t="n">
        <f aca="false">-MAX(0,Y31)*Supuestos!$B$43</f>
        <v>-2685.49130355194</v>
      </c>
      <c r="Z32" s="12" t="n">
        <f aca="false">-MAX(0,Z31)*Supuestos!$B$43</f>
        <v>-2771.35402096314</v>
      </c>
      <c r="AA32" s="12" t="n">
        <f aca="false">-MAX(0,AA31)*Supuestos!$B$43</f>
        <v>-3050.07017043906</v>
      </c>
      <c r="AB32" s="12" t="n">
        <f aca="false">-MAX(0,AB31)*Supuestos!$B$43</f>
        <v>-3321.81841617808</v>
      </c>
      <c r="AC32" s="12" t="n">
        <f aca="false">-MAX(0,AC31)*Supuestos!$B$43</f>
        <v>-3611.89545577363</v>
      </c>
      <c r="AD32" s="12" t="n">
        <f aca="false">-MAX(0,AD31)*Supuestos!$B$43</f>
        <v>-3894.72056937929</v>
      </c>
      <c r="AE32" s="12" t="n">
        <f aca="false">-MAX(0,AE31)*Supuestos!$B$43</f>
        <v>-4170.47505514481</v>
      </c>
    </row>
    <row r="33" customFormat="false" ht="15" hidden="false" customHeight="false" outlineLevel="0" collapsed="false">
      <c r="A33" s="3" t="s">
        <v>105</v>
      </c>
      <c r="B33" s="3" t="s">
        <v>118</v>
      </c>
      <c r="C33" s="22" t="n">
        <f aca="false">C31+C32</f>
        <v>-1065</v>
      </c>
      <c r="D33" s="22" t="n">
        <f aca="false">D31+D32</f>
        <v>-1206</v>
      </c>
      <c r="E33" s="22" t="n">
        <f aca="false">E31+E32</f>
        <v>-2076</v>
      </c>
      <c r="F33" s="22" t="n">
        <f aca="false">F31+F32</f>
        <v>-1401</v>
      </c>
      <c r="G33" s="22" t="n">
        <f aca="false">G31+G32</f>
        <v>-1208.35</v>
      </c>
      <c r="H33" s="22" t="n">
        <f aca="false">H31+H32</f>
        <v>-2405.19125</v>
      </c>
      <c r="I33" s="22" t="n">
        <f aca="false">I31+I32</f>
        <v>-2244.28646875</v>
      </c>
      <c r="J33" s="22" t="n">
        <f aca="false">J31+J32</f>
        <v>132.358760859375</v>
      </c>
      <c r="K33" s="22" t="n">
        <f aca="false">K31+K32</f>
        <v>1232.06729183789</v>
      </c>
      <c r="L33" s="22" t="n">
        <f aca="false">L31+L32</f>
        <v>2705.88560954194</v>
      </c>
      <c r="M33" s="22" t="n">
        <f aca="false">M31+M32</f>
        <v>4368.96096930339</v>
      </c>
      <c r="N33" s="22" t="n">
        <f aca="false">N31+N32</f>
        <v>3966.56194507081</v>
      </c>
      <c r="O33" s="22" t="n">
        <f aca="false">O31+O32</f>
        <v>5767.97289644404</v>
      </c>
      <c r="P33" s="22" t="n">
        <f aca="false">P31+P32</f>
        <v>7570.45107403294</v>
      </c>
      <c r="Q33" s="22" t="n">
        <f aca="false">Q31+Q32</f>
        <v>9503.36729718211</v>
      </c>
      <c r="R33" s="22" t="n">
        <f aca="false">R31+R32</f>
        <v>11387.9606147526</v>
      </c>
      <c r="S33" s="22" t="n">
        <f aca="false">S31+S32</f>
        <v>13225.4390993837</v>
      </c>
      <c r="T33" s="22" t="n">
        <f aca="false">T31+T32</f>
        <v>12441.5856218992</v>
      </c>
      <c r="U33" s="22" t="n">
        <f aca="false">U31+U32</f>
        <v>14629.2384813517</v>
      </c>
      <c r="V33" s="22" t="n">
        <f aca="false">V31+V32</f>
        <v>16762.2000193179</v>
      </c>
      <c r="W33" s="22" t="n">
        <f aca="false">W31+W32</f>
        <v>19294.0425188349</v>
      </c>
      <c r="X33" s="22" t="n">
        <f aca="false">X31+X32</f>
        <v>21762.5889558641</v>
      </c>
      <c r="Y33" s="22" t="n">
        <f aca="false">Y31+Y32</f>
        <v>24169.4217319674</v>
      </c>
      <c r="Z33" s="22" t="n">
        <f aca="false">Z31+Z32</f>
        <v>24942.1861886683</v>
      </c>
      <c r="AA33" s="22" t="n">
        <f aca="false">AA31+AA32</f>
        <v>27450.6315339516</v>
      </c>
      <c r="AB33" s="22" t="n">
        <f aca="false">AB31+AB32</f>
        <v>29896.3657456028</v>
      </c>
      <c r="AC33" s="22" t="n">
        <f aca="false">AC31+AC32</f>
        <v>32507.0591019627</v>
      </c>
      <c r="AD33" s="22" t="n">
        <f aca="false">AD31+AD32</f>
        <v>35052.4851244136</v>
      </c>
      <c r="AE33" s="22" t="n">
        <f aca="false">AE31+AE32</f>
        <v>37534.2754963033</v>
      </c>
    </row>
    <row r="34" customFormat="false" ht="15" hidden="false" customHeight="false" outlineLevel="0" collapsed="false">
      <c r="A34" s="6" t="s">
        <v>101</v>
      </c>
      <c r="B34" s="6" t="s">
        <v>119</v>
      </c>
      <c r="C34" s="12" t="n">
        <f aca="false">0</f>
        <v>0</v>
      </c>
      <c r="D34" s="12" t="n">
        <f aca="false">0</f>
        <v>0</v>
      </c>
      <c r="E34" s="12" t="n">
        <f aca="false">0</f>
        <v>0</v>
      </c>
      <c r="F34" s="12" t="n">
        <f aca="false">0</f>
        <v>0</v>
      </c>
      <c r="G34" s="12" t="n">
        <f aca="false">0</f>
        <v>0</v>
      </c>
      <c r="H34" s="12" t="n">
        <f aca="false">0</f>
        <v>0</v>
      </c>
      <c r="I34" s="12" t="n">
        <f aca="false">0</f>
        <v>0</v>
      </c>
      <c r="J34" s="12" t="n">
        <f aca="false">0</f>
        <v>0</v>
      </c>
      <c r="K34" s="12" t="n">
        <f aca="false">0</f>
        <v>0</v>
      </c>
      <c r="L34" s="12" t="n">
        <f aca="false">0</f>
        <v>0</v>
      </c>
      <c r="M34" s="12" t="n">
        <f aca="false">0</f>
        <v>0</v>
      </c>
      <c r="N34" s="12" t="n">
        <f aca="false">0</f>
        <v>0</v>
      </c>
      <c r="O34" s="12" t="n">
        <f aca="false">0</f>
        <v>0</v>
      </c>
      <c r="P34" s="12" t="n">
        <f aca="false">0</f>
        <v>0</v>
      </c>
      <c r="Q34" s="12" t="n">
        <f aca="false">0</f>
        <v>0</v>
      </c>
      <c r="R34" s="12" t="n">
        <f aca="false">0</f>
        <v>0</v>
      </c>
      <c r="S34" s="12" t="n">
        <f aca="false">0</f>
        <v>0</v>
      </c>
      <c r="T34" s="12" t="n">
        <f aca="false">0</f>
        <v>0</v>
      </c>
      <c r="U34" s="12" t="n">
        <f aca="false">0</f>
        <v>0</v>
      </c>
      <c r="V34" s="12" t="n">
        <f aca="false">0</f>
        <v>0</v>
      </c>
      <c r="W34" s="12" t="n">
        <f aca="false">0</f>
        <v>0</v>
      </c>
      <c r="X34" s="12" t="n">
        <f aca="false">0</f>
        <v>0</v>
      </c>
      <c r="Y34" s="12" t="n">
        <f aca="false">0</f>
        <v>0</v>
      </c>
      <c r="Z34" s="12" t="n">
        <f aca="false">0</f>
        <v>0</v>
      </c>
      <c r="AA34" s="12" t="n">
        <f aca="false">0</f>
        <v>0</v>
      </c>
      <c r="AB34" s="12" t="n">
        <f aca="false">0</f>
        <v>0</v>
      </c>
      <c r="AC34" s="12" t="n">
        <f aca="false">0</f>
        <v>0</v>
      </c>
      <c r="AD34" s="12" t="n">
        <f aca="false">0</f>
        <v>0</v>
      </c>
      <c r="AE34" s="12" t="n">
        <f aca="false">0</f>
        <v>0</v>
      </c>
    </row>
    <row r="35" customFormat="false" ht="15" hidden="false" customHeight="false" outlineLevel="0" collapsed="false">
      <c r="A35" s="6" t="s">
        <v>107</v>
      </c>
      <c r="B35" s="6" t="s">
        <v>120</v>
      </c>
      <c r="C35" s="12" t="n">
        <f aca="false">-C13</f>
        <v>-150</v>
      </c>
      <c r="D35" s="12" t="n">
        <f aca="false">-D13</f>
        <v>-0</v>
      </c>
      <c r="E35" s="12" t="n">
        <f aca="false">-E13</f>
        <v>-0</v>
      </c>
      <c r="F35" s="12" t="n">
        <f aca="false">-F13</f>
        <v>-0</v>
      </c>
      <c r="G35" s="12" t="n">
        <f aca="false">-G13</f>
        <v>-0</v>
      </c>
      <c r="H35" s="12" t="n">
        <f aca="false">-H13</f>
        <v>-0</v>
      </c>
      <c r="I35" s="12" t="n">
        <f aca="false">-I13</f>
        <v>-0</v>
      </c>
      <c r="J35" s="12" t="n">
        <f aca="false">-J13</f>
        <v>-0</v>
      </c>
      <c r="K35" s="12" t="n">
        <f aca="false">-K13</f>
        <v>-0</v>
      </c>
      <c r="L35" s="12" t="n">
        <f aca="false">-L13</f>
        <v>-0</v>
      </c>
      <c r="M35" s="12" t="n">
        <f aca="false">-M13</f>
        <v>-0</v>
      </c>
      <c r="N35" s="12" t="n">
        <f aca="false">-N13</f>
        <v>-0</v>
      </c>
      <c r="O35" s="12" t="n">
        <f aca="false">-O13</f>
        <v>-0</v>
      </c>
      <c r="P35" s="12" t="n">
        <f aca="false">-P13</f>
        <v>-0</v>
      </c>
      <c r="Q35" s="12" t="n">
        <f aca="false">-Q13</f>
        <v>-0</v>
      </c>
      <c r="R35" s="12" t="n">
        <f aca="false">-R13</f>
        <v>-0</v>
      </c>
      <c r="S35" s="12" t="n">
        <f aca="false">-S13</f>
        <v>-0</v>
      </c>
      <c r="T35" s="12" t="n">
        <f aca="false">-T13</f>
        <v>-0</v>
      </c>
      <c r="U35" s="12" t="n">
        <f aca="false">-U13</f>
        <v>-0</v>
      </c>
      <c r="V35" s="12" t="n">
        <f aca="false">-V13</f>
        <v>-0</v>
      </c>
      <c r="W35" s="12" t="n">
        <f aca="false">-W13</f>
        <v>-0</v>
      </c>
      <c r="X35" s="12" t="n">
        <f aca="false">-X13</f>
        <v>-0</v>
      </c>
      <c r="Y35" s="12" t="n">
        <f aca="false">-Y13</f>
        <v>-0</v>
      </c>
      <c r="Z35" s="12" t="n">
        <f aca="false">-Z13</f>
        <v>-0</v>
      </c>
      <c r="AA35" s="12" t="n">
        <f aca="false">-AA13</f>
        <v>-0</v>
      </c>
      <c r="AB35" s="12" t="n">
        <f aca="false">-AB13</f>
        <v>-0</v>
      </c>
      <c r="AC35" s="12" t="n">
        <f aca="false">-AC13</f>
        <v>-0</v>
      </c>
      <c r="AD35" s="12" t="n">
        <f aca="false">-AD13</f>
        <v>-0</v>
      </c>
      <c r="AE35" s="12" t="n">
        <f aca="false">-AE13</f>
        <v>-0</v>
      </c>
    </row>
    <row r="36" customFormat="false" ht="15" hidden="false" customHeight="false" outlineLevel="0" collapsed="false">
      <c r="A36" s="6" t="s">
        <v>107</v>
      </c>
      <c r="B36" s="6" t="s">
        <v>121</v>
      </c>
      <c r="C36" s="12" t="n">
        <f aca="false">0</f>
        <v>0</v>
      </c>
      <c r="D36" s="12" t="n">
        <f aca="false">0</f>
        <v>0</v>
      </c>
      <c r="E36" s="12" t="n">
        <f aca="false">0</f>
        <v>0</v>
      </c>
      <c r="F36" s="12" t="n">
        <f aca="false">0</f>
        <v>0</v>
      </c>
      <c r="G36" s="12" t="n">
        <f aca="false">0</f>
        <v>0</v>
      </c>
      <c r="H36" s="12" t="n">
        <f aca="false">0</f>
        <v>0</v>
      </c>
      <c r="I36" s="12" t="n">
        <f aca="false">0</f>
        <v>0</v>
      </c>
      <c r="J36" s="12" t="n">
        <f aca="false">0</f>
        <v>0</v>
      </c>
      <c r="K36" s="12" t="n">
        <f aca="false">0</f>
        <v>0</v>
      </c>
      <c r="L36" s="12" t="n">
        <f aca="false">0</f>
        <v>0</v>
      </c>
      <c r="M36" s="12" t="n">
        <f aca="false">0</f>
        <v>0</v>
      </c>
      <c r="N36" s="12" t="n">
        <f aca="false">0</f>
        <v>0</v>
      </c>
      <c r="O36" s="12" t="n">
        <f aca="false">0</f>
        <v>0</v>
      </c>
      <c r="P36" s="12" t="n">
        <f aca="false">0</f>
        <v>0</v>
      </c>
      <c r="Q36" s="12" t="n">
        <f aca="false">0</f>
        <v>0</v>
      </c>
      <c r="R36" s="12" t="n">
        <f aca="false">0</f>
        <v>0</v>
      </c>
      <c r="S36" s="12" t="n">
        <f aca="false">0</f>
        <v>0</v>
      </c>
      <c r="T36" s="12" t="n">
        <f aca="false">0</f>
        <v>0</v>
      </c>
      <c r="U36" s="12" t="n">
        <f aca="false">0</f>
        <v>0</v>
      </c>
      <c r="V36" s="12" t="n">
        <f aca="false">0</f>
        <v>0</v>
      </c>
      <c r="W36" s="12" t="n">
        <f aca="false">0</f>
        <v>0</v>
      </c>
      <c r="X36" s="12" t="n">
        <f aca="false">0</f>
        <v>0</v>
      </c>
      <c r="Y36" s="12" t="n">
        <f aca="false">0</f>
        <v>0</v>
      </c>
      <c r="Z36" s="12" t="n">
        <f aca="false">0</f>
        <v>0</v>
      </c>
      <c r="AA36" s="12" t="n">
        <f aca="false">0</f>
        <v>0</v>
      </c>
      <c r="AB36" s="12" t="n">
        <f aca="false">0</f>
        <v>0</v>
      </c>
      <c r="AC36" s="12" t="n">
        <f aca="false">0</f>
        <v>0</v>
      </c>
      <c r="AD36" s="12" t="n">
        <f aca="false">0</f>
        <v>0</v>
      </c>
      <c r="AE36" s="12" t="n">
        <f aca="false">0</f>
        <v>0</v>
      </c>
    </row>
    <row r="37" customFormat="false" ht="15" hidden="false" customHeight="false" outlineLevel="0" collapsed="false">
      <c r="A37" s="3" t="s">
        <v>105</v>
      </c>
      <c r="B37" s="3" t="s">
        <v>122</v>
      </c>
      <c r="C37" s="23" t="n">
        <f aca="false">C33+C34+C35+C36</f>
        <v>-1215</v>
      </c>
      <c r="D37" s="23" t="n">
        <f aca="false">D33+D34+D35+D36</f>
        <v>-1206</v>
      </c>
      <c r="E37" s="23" t="n">
        <f aca="false">E33+E34+E35+E36</f>
        <v>-2076</v>
      </c>
      <c r="F37" s="23" t="n">
        <f aca="false">F33+F34+F35+F36</f>
        <v>-1401</v>
      </c>
      <c r="G37" s="23" t="n">
        <f aca="false">G33+G34+G35+G36</f>
        <v>-1208.35</v>
      </c>
      <c r="H37" s="23" t="n">
        <f aca="false">H33+H34+H35+H36</f>
        <v>-2405.19125</v>
      </c>
      <c r="I37" s="23" t="n">
        <f aca="false">I33+I34+I35+I36</f>
        <v>-2244.28646875</v>
      </c>
      <c r="J37" s="23" t="n">
        <f aca="false">J33+J34+J35+J36</f>
        <v>132.358760859375</v>
      </c>
      <c r="K37" s="23" t="n">
        <f aca="false">K33+K34+K35+K36</f>
        <v>1232.06729183789</v>
      </c>
      <c r="L37" s="23" t="n">
        <f aca="false">L33+L34+L35+L36</f>
        <v>2705.88560954194</v>
      </c>
      <c r="M37" s="23" t="n">
        <f aca="false">M33+M34+M35+M36</f>
        <v>4368.96096930339</v>
      </c>
      <c r="N37" s="23" t="n">
        <f aca="false">N33+N34+N35+N36</f>
        <v>3966.56194507081</v>
      </c>
      <c r="O37" s="23" t="n">
        <f aca="false">O33+O34+O35+O36</f>
        <v>5767.97289644404</v>
      </c>
      <c r="P37" s="23" t="n">
        <f aca="false">P33+P34+P35+P36</f>
        <v>7570.45107403294</v>
      </c>
      <c r="Q37" s="23" t="n">
        <f aca="false">Q33+Q34+Q35+Q36</f>
        <v>9503.36729718211</v>
      </c>
      <c r="R37" s="23" t="n">
        <f aca="false">R33+R34+R35+R36</f>
        <v>11387.9606147526</v>
      </c>
      <c r="S37" s="23" t="n">
        <f aca="false">S33+S34+S35+S36</f>
        <v>13225.4390993837</v>
      </c>
      <c r="T37" s="23" t="n">
        <f aca="false">T33+T34+T35+T36</f>
        <v>12441.5856218992</v>
      </c>
      <c r="U37" s="23" t="n">
        <f aca="false">U33+U34+U35+U36</f>
        <v>14629.2384813517</v>
      </c>
      <c r="V37" s="23" t="n">
        <f aca="false">V33+V34+V35+V36</f>
        <v>16762.2000193179</v>
      </c>
      <c r="W37" s="23" t="n">
        <f aca="false">W33+W34+W35+W36</f>
        <v>19294.0425188349</v>
      </c>
      <c r="X37" s="23" t="n">
        <f aca="false">X33+X34+X35+X36</f>
        <v>21762.5889558641</v>
      </c>
      <c r="Y37" s="23" t="n">
        <f aca="false">Y33+Y34+Y35+Y36</f>
        <v>24169.4217319674</v>
      </c>
      <c r="Z37" s="23" t="n">
        <f aca="false">Z33+Z34+Z35+Z36</f>
        <v>24942.1861886683</v>
      </c>
      <c r="AA37" s="23" t="n">
        <f aca="false">AA33+AA34+AA35+AA36</f>
        <v>27450.6315339516</v>
      </c>
      <c r="AB37" s="23" t="n">
        <f aca="false">AB33+AB34+AB35+AB36</f>
        <v>29896.3657456028</v>
      </c>
      <c r="AC37" s="23" t="n">
        <f aca="false">AC33+AC34+AC35+AC36</f>
        <v>32507.0591019627</v>
      </c>
      <c r="AD37" s="23" t="n">
        <f aca="false">AD33+AD34+AD35+AD36</f>
        <v>35052.4851244136</v>
      </c>
      <c r="AE37" s="23" t="n">
        <f aca="false">AE33+AE34+AE35+AE36</f>
        <v>37534.2754963033</v>
      </c>
    </row>
    <row r="38" customFormat="false" ht="15" hidden="false" customHeight="false" outlineLevel="0" collapsed="false">
      <c r="A38" s="3"/>
      <c r="B38" s="3" t="s">
        <v>123</v>
      </c>
      <c r="C38" s="21" t="n">
        <f aca="false">Supuestos!$B$45+C37</f>
        <v>-1215</v>
      </c>
      <c r="D38" s="21" t="n">
        <f aca="false">C38+D37</f>
        <v>-2421</v>
      </c>
      <c r="E38" s="21" t="n">
        <f aca="false">D38+E37</f>
        <v>-4497</v>
      </c>
      <c r="F38" s="21" t="n">
        <f aca="false">E38+F37</f>
        <v>-5898</v>
      </c>
      <c r="G38" s="21" t="n">
        <f aca="false">F38+G37</f>
        <v>-7106.35</v>
      </c>
      <c r="H38" s="21" t="n">
        <f aca="false">G38+H37</f>
        <v>-9511.54125</v>
      </c>
      <c r="I38" s="21" t="n">
        <f aca="false">H38+I37</f>
        <v>-11755.82771875</v>
      </c>
      <c r="J38" s="21" t="n">
        <f aca="false">I38+J37</f>
        <v>-11623.4689578906</v>
      </c>
      <c r="K38" s="21" t="n">
        <f aca="false">J38+K37</f>
        <v>-10391.4016660527</v>
      </c>
      <c r="L38" s="21" t="n">
        <f aca="false">K38+L37</f>
        <v>-7685.51605651079</v>
      </c>
      <c r="M38" s="21" t="n">
        <f aca="false">L38+M37</f>
        <v>-3316.55508720739</v>
      </c>
      <c r="N38" s="21" t="n">
        <f aca="false">M38+N37</f>
        <v>650.006857863415</v>
      </c>
      <c r="O38" s="21" t="n">
        <f aca="false">N38+O37</f>
        <v>6417.97975430745</v>
      </c>
      <c r="P38" s="21" t="n">
        <f aca="false">O38+P37</f>
        <v>13988.4308283404</v>
      </c>
      <c r="Q38" s="21" t="n">
        <f aca="false">P38+Q37</f>
        <v>23491.7981255225</v>
      </c>
      <c r="R38" s="21" t="n">
        <f aca="false">Q38+R37</f>
        <v>34879.7587402751</v>
      </c>
      <c r="S38" s="21" t="n">
        <f aca="false">R38+S37</f>
        <v>48105.1978396588</v>
      </c>
      <c r="T38" s="21" t="n">
        <f aca="false">S38+T37</f>
        <v>60546.783461558</v>
      </c>
      <c r="U38" s="21" t="n">
        <f aca="false">T38+U37</f>
        <v>75176.0219429096</v>
      </c>
      <c r="V38" s="21" t="n">
        <f aca="false">U38+V37</f>
        <v>91938.2219622275</v>
      </c>
      <c r="W38" s="21" t="n">
        <f aca="false">V38+W37</f>
        <v>111232.264481062</v>
      </c>
      <c r="X38" s="21" t="n">
        <f aca="false">W38+X37</f>
        <v>132994.853436927</v>
      </c>
      <c r="Y38" s="21" t="n">
        <f aca="false">X38+Y37</f>
        <v>157164.275168894</v>
      </c>
      <c r="Z38" s="21" t="n">
        <f aca="false">Y38+Z37</f>
        <v>182106.461357562</v>
      </c>
      <c r="AA38" s="21" t="n">
        <f aca="false">Z38+AA37</f>
        <v>209557.092891514</v>
      </c>
      <c r="AB38" s="21" t="n">
        <f aca="false">AA38+AB37</f>
        <v>239453.458637117</v>
      </c>
      <c r="AC38" s="21" t="n">
        <f aca="false">AB38+AC37</f>
        <v>271960.517739079</v>
      </c>
      <c r="AD38" s="21" t="n">
        <f aca="false">AC38+AD37</f>
        <v>307013.002863493</v>
      </c>
      <c r="AE38" s="21" t="n">
        <f aca="false">AD38+AE37</f>
        <v>344547.278359796</v>
      </c>
    </row>
    <row r="40" customFormat="false" ht="15" hidden="false" customHeight="false" outlineLevel="0" collapsed="false">
      <c r="B40" s="2" t="s">
        <v>124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E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0"/>
    <col collapsed="false" customWidth="true" hidden="false" outlineLevel="0" max="31" min="3" style="0" width="10.51"/>
  </cols>
  <sheetData>
    <row r="1" customFormat="false" ht="16.15" hidden="false" customHeight="false" outlineLevel="0" collapsed="false">
      <c r="B1" s="1" t="s">
        <v>125</v>
      </c>
    </row>
    <row r="2" customFormat="false" ht="15" hidden="false" customHeight="false" outlineLevel="0" collapsed="false">
      <c r="B2" s="2" t="s">
        <v>126</v>
      </c>
    </row>
    <row r="4" customFormat="false" ht="15" hidden="false" customHeight="false" outlineLevel="0" collapsed="false">
      <c r="C4" s="18" t="s">
        <v>60</v>
      </c>
      <c r="D4" s="18" t="s">
        <v>61</v>
      </c>
      <c r="E4" s="18" t="s">
        <v>62</v>
      </c>
      <c r="F4" s="18" t="s">
        <v>63</v>
      </c>
      <c r="G4" s="18" t="s">
        <v>64</v>
      </c>
      <c r="H4" s="18" t="s">
        <v>65</v>
      </c>
      <c r="I4" s="18" t="s">
        <v>66</v>
      </c>
      <c r="J4" s="18" t="s">
        <v>67</v>
      </c>
      <c r="K4" s="18" t="s">
        <v>68</v>
      </c>
      <c r="L4" s="18" t="s">
        <v>69</v>
      </c>
      <c r="M4" s="18" t="s">
        <v>70</v>
      </c>
      <c r="N4" s="18" t="s">
        <v>71</v>
      </c>
      <c r="O4" s="18" t="s">
        <v>72</v>
      </c>
      <c r="P4" s="18" t="s">
        <v>73</v>
      </c>
      <c r="Q4" s="18" t="s">
        <v>74</v>
      </c>
      <c r="R4" s="18" t="s">
        <v>75</v>
      </c>
      <c r="S4" s="18" t="s">
        <v>76</v>
      </c>
      <c r="T4" s="18" t="s">
        <v>77</v>
      </c>
      <c r="U4" s="18" t="s">
        <v>78</v>
      </c>
      <c r="V4" s="18" t="s">
        <v>79</v>
      </c>
      <c r="W4" s="18" t="s">
        <v>80</v>
      </c>
      <c r="X4" s="18" t="s">
        <v>81</v>
      </c>
      <c r="Y4" s="18" t="s">
        <v>82</v>
      </c>
      <c r="Z4" s="18" t="s">
        <v>83</v>
      </c>
      <c r="AA4" s="18" t="s">
        <v>84</v>
      </c>
      <c r="AB4" s="18" t="s">
        <v>85</v>
      </c>
      <c r="AC4" s="18" t="s">
        <v>86</v>
      </c>
      <c r="AD4" s="18" t="s">
        <v>87</v>
      </c>
      <c r="AE4" s="18" t="s">
        <v>88</v>
      </c>
    </row>
    <row r="5" customFormat="false" ht="15" hidden="false" customHeight="false" outlineLevel="0" collapsed="false">
      <c r="B5" s="6" t="s">
        <v>127</v>
      </c>
      <c r="C5" s="12" t="n">
        <f aca="false">-'Flujo mensual'!C15*(Supuestos!$B$35+Supuestos!$B$36)</f>
        <v>-0</v>
      </c>
      <c r="D5" s="12" t="n">
        <f aca="false">-'Flujo mensual'!D15*(Supuestos!$B$35+Supuestos!$B$36)</f>
        <v>-0</v>
      </c>
      <c r="E5" s="12" t="n">
        <f aca="false">-'Flujo mensual'!E15*(Supuestos!$B$35+Supuestos!$B$36)</f>
        <v>-0</v>
      </c>
      <c r="F5" s="12" t="n">
        <f aca="false">-'Flujo mensual'!F15*(Supuestos!$B$35+Supuestos!$B$36)</f>
        <v>-0</v>
      </c>
      <c r="G5" s="12" t="n">
        <f aca="false">-'Flujo mensual'!G15*(Supuestos!$B$35+Supuestos!$B$36)</f>
        <v>-40</v>
      </c>
      <c r="H5" s="12" t="n">
        <f aca="false">-'Flujo mensual'!H15*(Supuestos!$B$35+Supuestos!$B$36)</f>
        <v>-99</v>
      </c>
      <c r="I5" s="12" t="n">
        <f aca="false">-'Flujo mensual'!I15*(Supuestos!$B$35+Supuestos!$B$36)</f>
        <v>-176.525</v>
      </c>
      <c r="J5" s="12" t="n">
        <f aca="false">-'Flujo mensual'!J15*(Supuestos!$B$35+Supuestos!$B$36)</f>
        <v>-272.111875</v>
      </c>
      <c r="K5" s="12" t="n">
        <f aca="false">-'Flujo mensual'!K15*(Supuestos!$B$35+Supuestos!$B$36)</f>
        <v>-385.309078125</v>
      </c>
      <c r="L5" s="12" t="n">
        <f aca="false">-'Flujo mensual'!L15*(Supuestos!$B$35+Supuestos!$B$36)</f>
        <v>-515.676351171875</v>
      </c>
      <c r="M5" s="12" t="n">
        <f aca="false">-'Flujo mensual'!M15*(Supuestos!$B$35+Supuestos!$B$36)</f>
        <v>-662.784442392578</v>
      </c>
      <c r="N5" s="12" t="n">
        <f aca="false">-'Flujo mensual'!N15*(Supuestos!$B$35+Supuestos!$B$36)</f>
        <v>-826.214831332764</v>
      </c>
      <c r="O5" s="12" t="n">
        <f aca="false">-'Flujo mensual'!O15*(Supuestos!$B$35+Supuestos!$B$36)</f>
        <v>-985.559460549445</v>
      </c>
      <c r="P5" s="12" t="n">
        <f aca="false">-'Flujo mensual'!P15*(Supuestos!$B$35+Supuestos!$B$36)</f>
        <v>-1160.92047403571</v>
      </c>
      <c r="Q5" s="12" t="n">
        <f aca="false">-'Flujo mensual'!Q15*(Supuestos!$B$35+Supuestos!$B$36)</f>
        <v>-1331.89746218482</v>
      </c>
      <c r="R5" s="12" t="n">
        <f aca="false">-'Flujo mensual'!R15*(Supuestos!$B$35+Supuestos!$B$36)</f>
        <v>-1498.6000256302</v>
      </c>
      <c r="S5" s="12" t="n">
        <f aca="false">-'Flujo mensual'!S15*(Supuestos!$B$35+Supuestos!$B$36)</f>
        <v>-1661.13502498944</v>
      </c>
      <c r="T5" s="12" t="n">
        <f aca="false">-'Flujo mensual'!T15*(Supuestos!$B$35+Supuestos!$B$36)</f>
        <v>-1859.6066493647</v>
      </c>
      <c r="U5" s="12" t="n">
        <f aca="false">-'Flujo mensual'!U15*(Supuestos!$B$35+Supuestos!$B$36)</f>
        <v>-2053.11648313059</v>
      </c>
      <c r="V5" s="12" t="n">
        <f aca="false">-'Flujo mensual'!V15*(Supuestos!$B$35+Supuestos!$B$36)</f>
        <v>-2241.78857105232</v>
      </c>
      <c r="W5" s="12" t="n">
        <f aca="false">-'Flujo mensual'!W15*(Supuestos!$B$35+Supuestos!$B$36)</f>
        <v>-2465.74385677601</v>
      </c>
      <c r="X5" s="12" t="n">
        <f aca="false">-'Flujo mensual'!X15*(Supuestos!$B$35+Supuestos!$B$36)</f>
        <v>-2684.10026035661</v>
      </c>
      <c r="Y5" s="12" t="n">
        <f aca="false">-'Flujo mensual'!Y15*(Supuestos!$B$35+Supuestos!$B$36)</f>
        <v>-2896.9977538477</v>
      </c>
      <c r="Z5" s="12" t="n">
        <f aca="false">-'Flujo mensual'!Z15*(Supuestos!$B$35+Supuestos!$B$36)</f>
        <v>-3124.57281000151</v>
      </c>
      <c r="AA5" s="12" t="n">
        <f aca="false">-'Flujo mensual'!AA15*(Supuestos!$B$35+Supuestos!$B$36)</f>
        <v>-3346.45848975147</v>
      </c>
      <c r="AB5" s="12" t="n">
        <f aca="false">-'Flujo mensual'!AB15*(Supuestos!$B$35+Supuestos!$B$36)</f>
        <v>-3562.79702750768</v>
      </c>
      <c r="AC5" s="12" t="n">
        <f aca="false">-'Flujo mensual'!AC15*(Supuestos!$B$35+Supuestos!$B$36)</f>
        <v>-3793.72710181999</v>
      </c>
      <c r="AD5" s="12" t="n">
        <f aca="false">-'Flujo mensual'!AD15*(Supuestos!$B$35+Supuestos!$B$36)</f>
        <v>-4018.88392427449</v>
      </c>
      <c r="AE5" s="12" t="n">
        <f aca="false">-'Flujo mensual'!AE15*(Supuestos!$B$35+Supuestos!$B$36)</f>
        <v>-4238.41182616763</v>
      </c>
    </row>
    <row r="6" customFormat="false" ht="15" hidden="false" customHeight="false" outlineLevel="0" collapsed="false">
      <c r="B6" s="6" t="s">
        <v>128</v>
      </c>
      <c r="C6" s="12" t="n">
        <f aca="false">'Flujo mensual'!C25+'Flujo mensual'!C26+'Flujo mensual'!C27</f>
        <v>-1065</v>
      </c>
      <c r="D6" s="12" t="n">
        <f aca="false">'Flujo mensual'!D25+'Flujo mensual'!D26+'Flujo mensual'!D27</f>
        <v>-1206</v>
      </c>
      <c r="E6" s="12" t="n">
        <f aca="false">'Flujo mensual'!E25+'Flujo mensual'!E26+'Flujo mensual'!E27</f>
        <v>-2076</v>
      </c>
      <c r="F6" s="12" t="n">
        <f aca="false">'Flujo mensual'!F25+'Flujo mensual'!F26+'Flujo mensual'!F27</f>
        <v>-1401</v>
      </c>
      <c r="G6" s="12" t="n">
        <f aca="false">'Flujo mensual'!G25+'Flujo mensual'!G26+'Flujo mensual'!G27</f>
        <v>-1406</v>
      </c>
      <c r="H6" s="12" t="n">
        <f aca="false">'Flujo mensual'!H25+'Flujo mensual'!H26+'Flujo mensual'!H27</f>
        <v>-2946</v>
      </c>
      <c r="I6" s="12" t="n">
        <f aca="false">'Flujo mensual'!I25+'Flujo mensual'!I26+'Flujo mensual'!I27</f>
        <v>-3236</v>
      </c>
      <c r="J6" s="12" t="n">
        <f aca="false">'Flujo mensual'!J25+'Flujo mensual'!J26+'Flujo mensual'!J27</f>
        <v>-3236</v>
      </c>
      <c r="K6" s="12" t="n">
        <f aca="false">'Flujo mensual'!K25+'Flujo mensual'!K26+'Flujo mensual'!K27</f>
        <v>-3436</v>
      </c>
      <c r="L6" s="12" t="n">
        <f aca="false">'Flujo mensual'!L25+'Flujo mensual'!L26+'Flujo mensual'!L27</f>
        <v>-3436</v>
      </c>
      <c r="M6" s="12" t="n">
        <f aca="false">'Flujo mensual'!M25+'Flujo mensual'!M26+'Flujo mensual'!M27</f>
        <v>-3436</v>
      </c>
      <c r="N6" s="12" t="n">
        <f aca="false">'Flujo mensual'!N25+'Flujo mensual'!N26+'Flujo mensual'!N27</f>
        <v>-5936</v>
      </c>
      <c r="O6" s="12" t="n">
        <f aca="false">'Flujo mensual'!O25+'Flujo mensual'!O26+'Flujo mensual'!O27</f>
        <v>-5936</v>
      </c>
      <c r="P6" s="12" t="n">
        <f aca="false">'Flujo mensual'!P25+'Flujo mensual'!P26+'Flujo mensual'!P27</f>
        <v>-6136</v>
      </c>
      <c r="Q6" s="12" t="n">
        <f aca="false">'Flujo mensual'!Q25+'Flujo mensual'!Q26+'Flujo mensual'!Q27</f>
        <v>-6136</v>
      </c>
      <c r="R6" s="12" t="n">
        <f aca="false">'Flujo mensual'!R25+'Flujo mensual'!R26+'Flujo mensual'!R27</f>
        <v>-6136</v>
      </c>
      <c r="S6" s="12" t="n">
        <f aca="false">'Flujo mensual'!S25+'Flujo mensual'!S26+'Flujo mensual'!S27</f>
        <v>-6136</v>
      </c>
      <c r="T6" s="12" t="n">
        <f aca="false">'Flujo mensual'!T25+'Flujo mensual'!T26+'Flujo mensual'!T27</f>
        <v>-9500</v>
      </c>
      <c r="U6" s="12" t="n">
        <f aca="false">'Flujo mensual'!U25+'Flujo mensual'!U26+'Flujo mensual'!U27</f>
        <v>-9500</v>
      </c>
      <c r="V6" s="12" t="n">
        <f aca="false">'Flujo mensual'!V25+'Flujo mensual'!V26+'Flujo mensual'!V27</f>
        <v>-9500</v>
      </c>
      <c r="W6" s="12" t="n">
        <f aca="false">'Flujo mensual'!W25+'Flujo mensual'!W26+'Flujo mensual'!W27</f>
        <v>-9500</v>
      </c>
      <c r="X6" s="12" t="n">
        <f aca="false">'Flujo mensual'!X25+'Flujo mensual'!X26+'Flujo mensual'!X27</f>
        <v>-9500</v>
      </c>
      <c r="Y6" s="12" t="n">
        <f aca="false">'Flujo mensual'!Y25+'Flujo mensual'!Y26+'Flujo mensual'!Y27</f>
        <v>-9500</v>
      </c>
      <c r="Z6" s="12" t="n">
        <f aca="false">'Flujo mensual'!Z25+'Flujo mensual'!Z26+'Flujo mensual'!Z27</f>
        <v>-11500</v>
      </c>
      <c r="AA6" s="12" t="n">
        <f aca="false">'Flujo mensual'!AA25+'Flujo mensual'!AA26+'Flujo mensual'!AA27</f>
        <v>-11500</v>
      </c>
      <c r="AB6" s="12" t="n">
        <f aca="false">'Flujo mensual'!AB25+'Flujo mensual'!AB26+'Flujo mensual'!AB27</f>
        <v>-11500</v>
      </c>
      <c r="AC6" s="12" t="n">
        <f aca="false">'Flujo mensual'!AC25+'Flujo mensual'!AC26+'Flujo mensual'!AC27</f>
        <v>-11500</v>
      </c>
      <c r="AD6" s="12" t="n">
        <f aca="false">'Flujo mensual'!AD25+'Flujo mensual'!AD26+'Flujo mensual'!AD27</f>
        <v>-11500</v>
      </c>
      <c r="AE6" s="12" t="n">
        <f aca="false">'Flujo mensual'!AE25+'Flujo mensual'!AE26+'Flujo mensual'!AE27</f>
        <v>-11500</v>
      </c>
    </row>
    <row r="7" customFormat="false" ht="15" hidden="false" customHeight="false" outlineLevel="0" collapsed="false">
      <c r="B7" s="6" t="s">
        <v>129</v>
      </c>
      <c r="C7" s="12" t="n">
        <f aca="false">'Flujo mensual'!C20+'Flujo mensual'!C21</f>
        <v>0</v>
      </c>
      <c r="D7" s="12" t="n">
        <f aca="false">'Flujo mensual'!D20+'Flujo mensual'!D21</f>
        <v>0</v>
      </c>
      <c r="E7" s="12" t="n">
        <f aca="false">'Flujo mensual'!E20+'Flujo mensual'!E21</f>
        <v>0</v>
      </c>
      <c r="F7" s="12" t="n">
        <f aca="false">'Flujo mensual'!F20+'Flujo mensual'!F21</f>
        <v>0</v>
      </c>
      <c r="G7" s="12" t="n">
        <f aca="false">'Flujo mensual'!G20+'Flujo mensual'!G21</f>
        <v>3</v>
      </c>
      <c r="H7" s="12" t="n">
        <f aca="false">'Flujo mensual'!H20+'Flujo mensual'!H21</f>
        <v>7.425</v>
      </c>
      <c r="I7" s="12" t="n">
        <f aca="false">'Flujo mensual'!I20+'Flujo mensual'!I21</f>
        <v>13.239375</v>
      </c>
      <c r="J7" s="12" t="n">
        <f aca="false">'Flujo mensual'!J20+'Flujo mensual'!J21</f>
        <v>20.408390625</v>
      </c>
      <c r="K7" s="12" t="n">
        <f aca="false">'Flujo mensual'!K20+'Flujo mensual'!K21</f>
        <v>28.898180859375</v>
      </c>
      <c r="L7" s="12" t="n">
        <f aca="false">'Flujo mensual'!L20+'Flujo mensual'!L21</f>
        <v>38.6757263378906</v>
      </c>
      <c r="M7" s="12" t="n">
        <f aca="false">'Flujo mensual'!M20+'Flujo mensual'!M21</f>
        <v>49.7088331794434</v>
      </c>
      <c r="N7" s="12" t="n">
        <f aca="false">'Flujo mensual'!N20+'Flujo mensual'!N21</f>
        <v>61.9661123499573</v>
      </c>
      <c r="O7" s="12" t="n">
        <f aca="false">'Flujo mensual'!O20+'Flujo mensual'!O21</f>
        <v>73.9169595412083</v>
      </c>
      <c r="P7" s="12" t="n">
        <f aca="false">'Flujo mensual'!P20+'Flujo mensual'!P21</f>
        <v>87.0690355526781</v>
      </c>
      <c r="Q7" s="12" t="n">
        <f aca="false">'Flujo mensual'!Q20+'Flujo mensual'!Q21</f>
        <v>99.8923096638612</v>
      </c>
      <c r="R7" s="12" t="n">
        <f aca="false">'Flujo mensual'!R20+'Flujo mensual'!R21</f>
        <v>112.395001922265</v>
      </c>
      <c r="S7" s="12" t="n">
        <f aca="false">'Flujo mensual'!S20+'Flujo mensual'!S21</f>
        <v>124.585126874208</v>
      </c>
      <c r="T7" s="12" t="n">
        <f aca="false">'Flujo mensual'!T20+'Flujo mensual'!T21</f>
        <v>139.470498702353</v>
      </c>
      <c r="U7" s="12" t="n">
        <f aca="false">'Flujo mensual'!U20+'Flujo mensual'!U21</f>
        <v>153.983736234794</v>
      </c>
      <c r="V7" s="12" t="n">
        <f aca="false">'Flujo mensual'!V20+'Flujo mensual'!V21</f>
        <v>168.134142828924</v>
      </c>
      <c r="W7" s="12" t="n">
        <f aca="false">'Flujo mensual'!W20+'Flujo mensual'!W21</f>
        <v>184.930789258201</v>
      </c>
      <c r="X7" s="12" t="n">
        <f aca="false">'Flujo mensual'!X20+'Flujo mensual'!X21</f>
        <v>201.307519526746</v>
      </c>
      <c r="Y7" s="12" t="n">
        <f aca="false">'Flujo mensual'!Y20+'Flujo mensual'!Y21</f>
        <v>217.274831538577</v>
      </c>
      <c r="Z7" s="12" t="n">
        <f aca="false">'Flujo mensual'!Z20+'Flujo mensual'!Z21</f>
        <v>234.342960750113</v>
      </c>
      <c r="AA7" s="12" t="n">
        <f aca="false">'Flujo mensual'!AA20+'Flujo mensual'!AA21</f>
        <v>250.98438673136</v>
      </c>
      <c r="AB7" s="12" t="n">
        <f aca="false">'Flujo mensual'!AB20+'Flujo mensual'!AB21</f>
        <v>267.209777063076</v>
      </c>
      <c r="AC7" s="12" t="n">
        <f aca="false">'Flujo mensual'!AC20+'Flujo mensual'!AC21</f>
        <v>284.529532636499</v>
      </c>
      <c r="AD7" s="12" t="n">
        <f aca="false">'Flujo mensual'!AD20+'Flujo mensual'!AD21</f>
        <v>301.416294320587</v>
      </c>
      <c r="AE7" s="12" t="n">
        <f aca="false">'Flujo mensual'!AE20+'Flujo mensual'!AE21</f>
        <v>317.880886962572</v>
      </c>
    </row>
    <row r="8" customFormat="false" ht="15" hidden="false" customHeight="false" outlineLevel="0" collapsed="false">
      <c r="B8" s="6" t="s">
        <v>130</v>
      </c>
      <c r="C8" s="12" t="n">
        <f aca="false">-'Flujo mensual'!C13</f>
        <v>-150</v>
      </c>
      <c r="D8" s="12" t="n">
        <f aca="false">-'Flujo mensual'!D13</f>
        <v>-0</v>
      </c>
      <c r="E8" s="12" t="n">
        <f aca="false">-'Flujo mensual'!E13</f>
        <v>-0</v>
      </c>
      <c r="F8" s="12" t="n">
        <f aca="false">-'Flujo mensual'!F13</f>
        <v>-0</v>
      </c>
      <c r="G8" s="12" t="n">
        <f aca="false">-'Flujo mensual'!G13</f>
        <v>-0</v>
      </c>
      <c r="H8" s="12" t="n">
        <f aca="false">-'Flujo mensual'!H13</f>
        <v>-0</v>
      </c>
      <c r="I8" s="12" t="n">
        <f aca="false">-'Flujo mensual'!I13</f>
        <v>-0</v>
      </c>
      <c r="J8" s="12" t="n">
        <f aca="false">-'Flujo mensual'!J13</f>
        <v>-0</v>
      </c>
      <c r="K8" s="12" t="n">
        <f aca="false">-'Flujo mensual'!K13</f>
        <v>-0</v>
      </c>
      <c r="L8" s="12" t="n">
        <f aca="false">-'Flujo mensual'!L13</f>
        <v>-0</v>
      </c>
      <c r="M8" s="12" t="n">
        <f aca="false">-'Flujo mensual'!M13</f>
        <v>-0</v>
      </c>
      <c r="N8" s="12" t="n">
        <f aca="false">-'Flujo mensual'!N13</f>
        <v>-0</v>
      </c>
      <c r="O8" s="12" t="n">
        <f aca="false">-'Flujo mensual'!O13</f>
        <v>-0</v>
      </c>
      <c r="P8" s="12" t="n">
        <f aca="false">-'Flujo mensual'!P13</f>
        <v>-0</v>
      </c>
      <c r="Q8" s="12" t="n">
        <f aca="false">-'Flujo mensual'!Q13</f>
        <v>-0</v>
      </c>
      <c r="R8" s="12" t="n">
        <f aca="false">-'Flujo mensual'!R13</f>
        <v>-0</v>
      </c>
      <c r="S8" s="12" t="n">
        <f aca="false">-'Flujo mensual'!S13</f>
        <v>-0</v>
      </c>
      <c r="T8" s="12" t="n">
        <f aca="false">-'Flujo mensual'!T13</f>
        <v>-0</v>
      </c>
      <c r="U8" s="12" t="n">
        <f aca="false">-'Flujo mensual'!U13</f>
        <v>-0</v>
      </c>
      <c r="V8" s="12" t="n">
        <f aca="false">-'Flujo mensual'!V13</f>
        <v>-0</v>
      </c>
      <c r="W8" s="12" t="n">
        <f aca="false">-'Flujo mensual'!W13</f>
        <v>-0</v>
      </c>
      <c r="X8" s="12" t="n">
        <f aca="false">-'Flujo mensual'!X13</f>
        <v>-0</v>
      </c>
      <c r="Y8" s="12" t="n">
        <f aca="false">-'Flujo mensual'!Y13</f>
        <v>-0</v>
      </c>
      <c r="Z8" s="12" t="n">
        <f aca="false">-'Flujo mensual'!Z13</f>
        <v>-0</v>
      </c>
      <c r="AA8" s="12" t="n">
        <f aca="false">-'Flujo mensual'!AA13</f>
        <v>-0</v>
      </c>
      <c r="AB8" s="12" t="n">
        <f aca="false">-'Flujo mensual'!AB13</f>
        <v>-0</v>
      </c>
      <c r="AC8" s="12" t="n">
        <f aca="false">-'Flujo mensual'!AC13</f>
        <v>-0</v>
      </c>
      <c r="AD8" s="12" t="n">
        <f aca="false">-'Flujo mensual'!AD13</f>
        <v>-0</v>
      </c>
      <c r="AE8" s="12" t="n">
        <f aca="false">-'Flujo mensual'!AE13</f>
        <v>-0</v>
      </c>
    </row>
    <row r="10" customFormat="false" ht="15" hidden="false" customHeight="false" outlineLevel="0" collapsed="false">
      <c r="B10" s="17" t="s">
        <v>131</v>
      </c>
    </row>
    <row r="11" customFormat="false" ht="15" hidden="false" customHeight="false" outlineLevel="0" collapsed="false">
      <c r="B11" s="6" t="s">
        <v>132</v>
      </c>
      <c r="C11" s="12" t="n">
        <f aca="false">'Flujo mensual'!C16*Supuestos!$B$21+C7</f>
        <v>0</v>
      </c>
      <c r="D11" s="12" t="n">
        <f aca="false">'Flujo mensual'!D16*Supuestos!$B$21+D7</f>
        <v>0</v>
      </c>
      <c r="E11" s="12" t="n">
        <f aca="false">'Flujo mensual'!E16*Supuestos!$B$21+E7</f>
        <v>0</v>
      </c>
      <c r="F11" s="12" t="n">
        <f aca="false">'Flujo mensual'!F16*Supuestos!$B$21+F7</f>
        <v>0</v>
      </c>
      <c r="G11" s="12" t="n">
        <f aca="false">'Flujo mensual'!G16*Supuestos!$B$21+G7</f>
        <v>287</v>
      </c>
      <c r="H11" s="12" t="n">
        <f aca="false">'Flujo mensual'!H16*Supuestos!$B$21+H7</f>
        <v>710.325</v>
      </c>
      <c r="I11" s="12" t="n">
        <f aca="false">'Flujo mensual'!I16*Supuestos!$B$21+I7</f>
        <v>1266.566875</v>
      </c>
      <c r="J11" s="12" t="n">
        <f aca="false">'Flujo mensual'!J16*Supuestos!$B$21+J7</f>
        <v>3884.397015625</v>
      </c>
      <c r="K11" s="12" t="n">
        <f aca="false">'Flujo mensual'!K16*Supuestos!$B$21+K7</f>
        <v>5500.28709023438</v>
      </c>
      <c r="L11" s="12" t="n">
        <f aca="false">'Flujo mensual'!L16*Supuestos!$B$21+L7</f>
        <v>7361.27991297852</v>
      </c>
      <c r="M11" s="12" t="n">
        <f aca="false">'Flujo mensual'!M16*Supuestos!$B$21+M7</f>
        <v>9461.24791515405</v>
      </c>
      <c r="N11" s="12" t="n">
        <f aca="false">'Flujo mensual'!N16*Supuestos!$B$21+N7</f>
        <v>11794.2167172752</v>
      </c>
      <c r="O11" s="12" t="n">
        <f aca="false">'Flujo mensual'!O16*Supuestos!$B$21+O7</f>
        <v>14068.8612993433</v>
      </c>
      <c r="P11" s="12" t="n">
        <f aca="false">'Flujo mensual'!P16*Supuestos!$B$21+P7</f>
        <v>16572.1397668597</v>
      </c>
      <c r="Q11" s="12" t="n">
        <f aca="false">'Flujo mensual'!Q16*Supuestos!$B$21+Q7</f>
        <v>19012.8362726882</v>
      </c>
      <c r="R11" s="12" t="n">
        <f aca="false">'Flujo mensual'!R16*Supuestos!$B$21+R7</f>
        <v>21392.515365871</v>
      </c>
      <c r="S11" s="12" t="n">
        <f aca="false">'Flujo mensual'!S16*Supuestos!$B$21+S7</f>
        <v>23712.7024817243</v>
      </c>
      <c r="T11" s="12" t="n">
        <f aca="false">'Flujo mensual'!T16*Supuestos!$B$21+T7</f>
        <v>26545.8849196812</v>
      </c>
      <c r="U11" s="12" t="n">
        <f aca="false">'Flujo mensual'!U16*Supuestos!$B$21+U7</f>
        <v>29308.2377966891</v>
      </c>
      <c r="V11" s="12" t="n">
        <f aca="false">'Flujo mensual'!V16*Supuestos!$B$21+V7</f>
        <v>32001.5318517719</v>
      </c>
      <c r="W11" s="12" t="n">
        <f aca="false">'Flujo mensual'!W16*Supuestos!$B$21+W7</f>
        <v>35198.4935554776</v>
      </c>
      <c r="X11" s="12" t="n">
        <f aca="false">'Flujo mensual'!X16*Supuestos!$B$21+X7</f>
        <v>38315.5312165907</v>
      </c>
      <c r="Y11" s="12" t="n">
        <f aca="false">'Flujo mensual'!Y16*Supuestos!$B$21+Y7</f>
        <v>41354.6429361759</v>
      </c>
      <c r="Z11" s="12" t="n">
        <f aca="false">'Flujo mensual'!Z16*Supuestos!$B$21+Z7</f>
        <v>44603.2768627715</v>
      </c>
      <c r="AA11" s="12" t="n">
        <f aca="false">'Flujo mensual'!AA16*Supuestos!$B$21+AA7</f>
        <v>47770.6949412022</v>
      </c>
      <c r="AB11" s="12" t="n">
        <f aca="false">'Flujo mensual'!AB16*Supuestos!$B$21+AB7</f>
        <v>50858.9275676721</v>
      </c>
      <c r="AC11" s="12" t="n">
        <f aca="false">'Flujo mensual'!AC16*Supuestos!$B$21+AC7</f>
        <v>54155.4543784803</v>
      </c>
      <c r="AD11" s="12" t="n">
        <f aca="false">'Flujo mensual'!AD16*Supuestos!$B$21+AD7</f>
        <v>57369.5680190183</v>
      </c>
      <c r="AE11" s="12" t="n">
        <f aca="false">'Flujo mensual'!AE16*Supuestos!$B$21+AE7</f>
        <v>60503.3288185429</v>
      </c>
    </row>
    <row r="12" customFormat="false" ht="15" hidden="false" customHeight="false" outlineLevel="0" collapsed="false">
      <c r="B12" s="6" t="s">
        <v>116</v>
      </c>
      <c r="C12" s="12" t="n">
        <f aca="false">C11+C5-C11*Supuestos!$B$37+C6-IF(C11&gt;0,Supuestos!$B$39+C11*Supuestos!$B$41*Supuestos!$B$40,0)</f>
        <v>-1065</v>
      </c>
      <c r="D12" s="12" t="n">
        <f aca="false">D11+D5-D11*Supuestos!$B$37+D6-IF(D11&gt;0,Supuestos!$B$39+D11*Supuestos!$B$41*Supuestos!$B$40,0)</f>
        <v>-1206</v>
      </c>
      <c r="E12" s="12" t="n">
        <f aca="false">E11+E5-E11*Supuestos!$B$37+E6-IF(E11&gt;0,Supuestos!$B$39+E11*Supuestos!$B$41*Supuestos!$B$40,0)</f>
        <v>-2076</v>
      </c>
      <c r="F12" s="12" t="n">
        <f aca="false">F11+F5-F11*Supuestos!$B$37+F6-IF(F11&gt;0,Supuestos!$B$39+F11*Supuestos!$B$41*Supuestos!$B$40,0)</f>
        <v>-1401</v>
      </c>
      <c r="G12" s="12" t="n">
        <f aca="false">G11+G5-G11*Supuestos!$B$37+G6-IF(G11&gt;0,Supuestos!$B$39+G11*Supuestos!$B$41*Supuestos!$B$40,0)</f>
        <v>-1208.35</v>
      </c>
      <c r="H12" s="12" t="n">
        <f aca="false">H11+H5-H11*Supuestos!$B$37+H6-IF(H11&gt;0,Supuestos!$B$39+H11*Supuestos!$B$41*Supuestos!$B$40,0)</f>
        <v>-2405.19125</v>
      </c>
      <c r="I12" s="12" t="n">
        <f aca="false">I11+I5-I11*Supuestos!$B$37+I6-IF(I11&gt;0,Supuestos!$B$39+I11*Supuestos!$B$41*Supuestos!$B$40,0)</f>
        <v>-2244.28646875</v>
      </c>
      <c r="J12" s="12" t="n">
        <f aca="false">J11+J5-J11*Supuestos!$B$37+J6-IF(J11&gt;0,Supuestos!$B$39+J11*Supuestos!$B$41*Supuestos!$B$40,0)</f>
        <v>147.06528984375</v>
      </c>
      <c r="K12" s="12" t="n">
        <f aca="false">K11+K5-K11*Supuestos!$B$37+K6-IF(K11&gt;0,Supuestos!$B$39+K11*Supuestos!$B$41*Supuestos!$B$40,0)</f>
        <v>1368.96365759766</v>
      </c>
      <c r="L12" s="12" t="n">
        <f aca="false">L11+L5-L11*Supuestos!$B$37+L6-IF(L11&gt;0,Supuestos!$B$39+L11*Supuestos!$B$41*Supuestos!$B$40,0)</f>
        <v>3006.53956615771</v>
      </c>
      <c r="M12" s="12" t="n">
        <f aca="false">M11+M5-M11*Supuestos!$B$37+M6-IF(M11&gt;0,Supuestos!$B$39+M11*Supuestos!$B$41*Supuestos!$B$40,0)</f>
        <v>4854.40107700377</v>
      </c>
      <c r="N12" s="12" t="n">
        <f aca="false">N11+N5-N11*Supuestos!$B$37+N6-IF(N11&gt;0,Supuestos!$B$39+N11*Supuestos!$B$41*Supuestos!$B$40,0)</f>
        <v>4407.29105007868</v>
      </c>
      <c r="O12" s="12" t="n">
        <f aca="false">O11+O5-O11*Supuestos!$B$37+O6-IF(O11&gt;0,Supuestos!$B$39+O11*Supuestos!$B$41*Supuestos!$B$40,0)</f>
        <v>6408.85877382671</v>
      </c>
      <c r="P12" s="12" t="n">
        <f aca="false">P11+P5-P11*Supuestos!$B$37+P6-IF(P11&gt;0,Supuestos!$B$39+P11*Supuestos!$B$41*Supuestos!$B$40,0)</f>
        <v>8411.61230448104</v>
      </c>
      <c r="Q12" s="12" t="n">
        <f aca="false">Q11+Q5-Q11*Supuestos!$B$37+Q6-IF(Q11&gt;0,Supuestos!$B$39+Q11*Supuestos!$B$41*Supuestos!$B$40,0)</f>
        <v>10559.296996869</v>
      </c>
      <c r="R12" s="12" t="n">
        <f aca="false">R11+R5-R11*Supuestos!$B$37+R6-IF(R11&gt;0,Supuestos!$B$39+R11*Supuestos!$B$41*Supuestos!$B$40,0)</f>
        <v>12653.2895719473</v>
      </c>
      <c r="S12" s="12" t="n">
        <f aca="false">S11+S5-S11*Supuestos!$B$37+S6-IF(S11&gt;0,Supuestos!$B$39+S11*Supuestos!$B$41*Supuestos!$B$40,0)</f>
        <v>14694.9323326486</v>
      </c>
      <c r="T12" s="12" t="n">
        <f aca="false">T11+T5-T11*Supuestos!$B$37+T6-IF(T11&gt;0,Supuestos!$B$39+T11*Supuestos!$B$41*Supuestos!$B$40,0)</f>
        <v>13823.9840243324</v>
      </c>
      <c r="U12" s="12" t="n">
        <f aca="false">U11+U5-U11*Supuestos!$B$37+U6-IF(U11&gt;0,Supuestos!$B$39+U11*Supuestos!$B$41*Supuestos!$B$40,0)</f>
        <v>16254.7094237241</v>
      </c>
      <c r="V12" s="12" t="n">
        <f aca="false">V11+V5-V11*Supuestos!$B$37+V6-IF(V11&gt;0,Supuestos!$B$39+V11*Supuestos!$B$41*Supuestos!$B$40,0)</f>
        <v>18624.666688131</v>
      </c>
      <c r="W12" s="12" t="n">
        <f aca="false">W11+W5-W11*Supuestos!$B$37+W6-IF(W11&gt;0,Supuestos!$B$39+W11*Supuestos!$B$41*Supuestos!$B$40,0)</f>
        <v>21437.8250209277</v>
      </c>
      <c r="X12" s="12" t="n">
        <f aca="false">X11+X5-X11*Supuestos!$B$37+X6-IF(X11&gt;0,Supuestos!$B$39+X11*Supuestos!$B$41*Supuestos!$B$40,0)</f>
        <v>24180.6543954045</v>
      </c>
      <c r="Y12" s="12" t="n">
        <f aca="false">Y11+Y5-Y11*Supuestos!$B$37+Y6-IF(Y11&gt;0,Supuestos!$B$39+Y11*Supuestos!$B$41*Supuestos!$B$40,0)</f>
        <v>26854.9130355194</v>
      </c>
      <c r="Z12" s="12" t="n">
        <f aca="false">Z11+Z5-Z11*Supuestos!$B$37+Z6-IF(Z11&gt;0,Supuestos!$B$39+Z11*Supuestos!$B$41*Supuestos!$B$40,0)</f>
        <v>27713.5402096314</v>
      </c>
      <c r="AA12" s="12" t="n">
        <f aca="false">AA11+AA5-AA11*Supuestos!$B$37+AA6-IF(AA11&gt;0,Supuestos!$B$39+AA11*Supuestos!$B$41*Supuestos!$B$40,0)</f>
        <v>30500.7017043906</v>
      </c>
      <c r="AB12" s="12" t="n">
        <f aca="false">AB11+AB5-AB11*Supuestos!$B$37+AB6-IF(AB11&gt;0,Supuestos!$B$39+AB11*Supuestos!$B$41*Supuestos!$B$40,0)</f>
        <v>33218.1841617808</v>
      </c>
      <c r="AC12" s="12" t="n">
        <f aca="false">AC11+AC5-AC11*Supuestos!$B$37+AC6-IF(AC11&gt;0,Supuestos!$B$39+AC11*Supuestos!$B$41*Supuestos!$B$40,0)</f>
        <v>36118.9545577363</v>
      </c>
      <c r="AD12" s="12" t="n">
        <f aca="false">AD11+AD5-AD11*Supuestos!$B$37+AD6-IF(AD11&gt;0,Supuestos!$B$39+AD11*Supuestos!$B$41*Supuestos!$B$40,0)</f>
        <v>38947.2056937929</v>
      </c>
      <c r="AE12" s="12" t="n">
        <f aca="false">AE11+AE5-AE11*Supuestos!$B$37+AE6-IF(AE11&gt;0,Supuestos!$B$39+AE11*Supuestos!$B$41*Supuestos!$B$40,0)</f>
        <v>41704.7505514481</v>
      </c>
    </row>
    <row r="13" customFormat="false" ht="15" hidden="false" customHeight="false" outlineLevel="0" collapsed="false">
      <c r="B13" s="3" t="s">
        <v>133</v>
      </c>
      <c r="C13" s="24" t="n">
        <f aca="false">C12-MAX(0,C12)*Supuestos!$B$43+C8</f>
        <v>-1215</v>
      </c>
      <c r="D13" s="24" t="n">
        <f aca="false">D12-MAX(0,D12)*Supuestos!$B$43+D8</f>
        <v>-1206</v>
      </c>
      <c r="E13" s="24" t="n">
        <f aca="false">E12-MAX(0,E12)*Supuestos!$B$43+E8</f>
        <v>-2076</v>
      </c>
      <c r="F13" s="24" t="n">
        <f aca="false">F12-MAX(0,F12)*Supuestos!$B$43+F8</f>
        <v>-1401</v>
      </c>
      <c r="G13" s="24" t="n">
        <f aca="false">G12-MAX(0,G12)*Supuestos!$B$43+G8</f>
        <v>-1208.35</v>
      </c>
      <c r="H13" s="24" t="n">
        <f aca="false">H12-MAX(0,H12)*Supuestos!$B$43+H8</f>
        <v>-2405.19125</v>
      </c>
      <c r="I13" s="24" t="n">
        <f aca="false">I12-MAX(0,I12)*Supuestos!$B$43+I8</f>
        <v>-2244.28646875</v>
      </c>
      <c r="J13" s="24" t="n">
        <f aca="false">J12-MAX(0,J12)*Supuestos!$B$43+J8</f>
        <v>132.358760859375</v>
      </c>
      <c r="K13" s="24" t="n">
        <f aca="false">K12-MAX(0,K12)*Supuestos!$B$43+K8</f>
        <v>1232.06729183789</v>
      </c>
      <c r="L13" s="24" t="n">
        <f aca="false">L12-MAX(0,L12)*Supuestos!$B$43+L8</f>
        <v>2705.88560954194</v>
      </c>
      <c r="M13" s="24" t="n">
        <f aca="false">M12-MAX(0,M12)*Supuestos!$B$43+M8</f>
        <v>4368.96096930339</v>
      </c>
      <c r="N13" s="24" t="n">
        <f aca="false">N12-MAX(0,N12)*Supuestos!$B$43+N8</f>
        <v>3966.56194507081</v>
      </c>
      <c r="O13" s="24" t="n">
        <f aca="false">O12-MAX(0,O12)*Supuestos!$B$43+O8</f>
        <v>5767.97289644404</v>
      </c>
      <c r="P13" s="24" t="n">
        <f aca="false">P12-MAX(0,P12)*Supuestos!$B$43+P8</f>
        <v>7570.45107403294</v>
      </c>
      <c r="Q13" s="24" t="n">
        <f aca="false">Q12-MAX(0,Q12)*Supuestos!$B$43+Q8</f>
        <v>9503.36729718211</v>
      </c>
      <c r="R13" s="24" t="n">
        <f aca="false">R12-MAX(0,R12)*Supuestos!$B$43+R8</f>
        <v>11387.9606147526</v>
      </c>
      <c r="S13" s="24" t="n">
        <f aca="false">S12-MAX(0,S12)*Supuestos!$B$43+S8</f>
        <v>13225.4390993837</v>
      </c>
      <c r="T13" s="24" t="n">
        <f aca="false">T12-MAX(0,T12)*Supuestos!$B$43+T8</f>
        <v>12441.5856218992</v>
      </c>
      <c r="U13" s="24" t="n">
        <f aca="false">U12-MAX(0,U12)*Supuestos!$B$43+U8</f>
        <v>14629.2384813517</v>
      </c>
      <c r="V13" s="24" t="n">
        <f aca="false">V12-MAX(0,V12)*Supuestos!$B$43+V8</f>
        <v>16762.2000193179</v>
      </c>
      <c r="W13" s="24" t="n">
        <f aca="false">W12-MAX(0,W12)*Supuestos!$B$43+W8</f>
        <v>19294.0425188349</v>
      </c>
      <c r="X13" s="24" t="n">
        <f aca="false">X12-MAX(0,X12)*Supuestos!$B$43+X8</f>
        <v>21762.5889558641</v>
      </c>
      <c r="Y13" s="24" t="n">
        <f aca="false">Y12-MAX(0,Y12)*Supuestos!$B$43+Y8</f>
        <v>24169.4217319674</v>
      </c>
      <c r="Z13" s="24" t="n">
        <f aca="false">Z12-MAX(0,Z12)*Supuestos!$B$43+Z8</f>
        <v>24942.1861886683</v>
      </c>
      <c r="AA13" s="24" t="n">
        <f aca="false">AA12-MAX(0,AA12)*Supuestos!$B$43+AA8</f>
        <v>27450.6315339516</v>
      </c>
      <c r="AB13" s="24" t="n">
        <f aca="false">AB12-MAX(0,AB12)*Supuestos!$B$43+AB8</f>
        <v>29896.3657456028</v>
      </c>
      <c r="AC13" s="24" t="n">
        <f aca="false">AC12-MAX(0,AC12)*Supuestos!$B$43+AC8</f>
        <v>32507.0591019627</v>
      </c>
      <c r="AD13" s="24" t="n">
        <f aca="false">AD12-MAX(0,AD12)*Supuestos!$B$43+AD8</f>
        <v>35052.4851244136</v>
      </c>
      <c r="AE13" s="24" t="n">
        <f aca="false">AE12-MAX(0,AE12)*Supuestos!$B$43+AE8</f>
        <v>37534.2754963033</v>
      </c>
    </row>
    <row r="14" customFormat="false" ht="15" hidden="false" customHeight="false" outlineLevel="0" collapsed="false">
      <c r="B14" s="3" t="s">
        <v>123</v>
      </c>
      <c r="C14" s="25" t="n">
        <f aca="false">Supuestos!$B$45+C13</f>
        <v>-1215</v>
      </c>
      <c r="D14" s="25" t="n">
        <f aca="false">C14+D13</f>
        <v>-2421</v>
      </c>
      <c r="E14" s="25" t="n">
        <f aca="false">D14+E13</f>
        <v>-4497</v>
      </c>
      <c r="F14" s="25" t="n">
        <f aca="false">E14+F13</f>
        <v>-5898</v>
      </c>
      <c r="G14" s="25" t="n">
        <f aca="false">F14+G13</f>
        <v>-7106.35</v>
      </c>
      <c r="H14" s="25" t="n">
        <f aca="false">G14+H13</f>
        <v>-9511.54125</v>
      </c>
      <c r="I14" s="25" t="n">
        <f aca="false">H14+I13</f>
        <v>-11755.82771875</v>
      </c>
      <c r="J14" s="25" t="n">
        <f aca="false">I14+J13</f>
        <v>-11623.4689578906</v>
      </c>
      <c r="K14" s="25" t="n">
        <f aca="false">J14+K13</f>
        <v>-10391.4016660527</v>
      </c>
      <c r="L14" s="25" t="n">
        <f aca="false">K14+L13</f>
        <v>-7685.51605651079</v>
      </c>
      <c r="M14" s="25" t="n">
        <f aca="false">L14+M13</f>
        <v>-3316.55508720739</v>
      </c>
      <c r="N14" s="25" t="n">
        <f aca="false">M14+N13</f>
        <v>650.006857863415</v>
      </c>
      <c r="O14" s="25" t="n">
        <f aca="false">N14+O13</f>
        <v>6417.97975430745</v>
      </c>
      <c r="P14" s="25" t="n">
        <f aca="false">O14+P13</f>
        <v>13988.4308283404</v>
      </c>
      <c r="Q14" s="25" t="n">
        <f aca="false">P14+Q13</f>
        <v>23491.7981255225</v>
      </c>
      <c r="R14" s="25" t="n">
        <f aca="false">Q14+R13</f>
        <v>34879.7587402751</v>
      </c>
      <c r="S14" s="25" t="n">
        <f aca="false">R14+S13</f>
        <v>48105.1978396588</v>
      </c>
      <c r="T14" s="25" t="n">
        <f aca="false">S14+T13</f>
        <v>60546.783461558</v>
      </c>
      <c r="U14" s="25" t="n">
        <f aca="false">T14+U13</f>
        <v>75176.0219429096</v>
      </c>
      <c r="V14" s="25" t="n">
        <f aca="false">U14+V13</f>
        <v>91938.2219622275</v>
      </c>
      <c r="W14" s="25" t="n">
        <f aca="false">V14+W13</f>
        <v>111232.264481062</v>
      </c>
      <c r="X14" s="25" t="n">
        <f aca="false">W14+X13</f>
        <v>132994.853436927</v>
      </c>
      <c r="Y14" s="25" t="n">
        <f aca="false">X14+Y13</f>
        <v>157164.275168894</v>
      </c>
      <c r="Z14" s="25" t="n">
        <f aca="false">Y14+Z13</f>
        <v>182106.461357562</v>
      </c>
      <c r="AA14" s="25" t="n">
        <f aca="false">Z14+AA13</f>
        <v>209557.092891514</v>
      </c>
      <c r="AB14" s="25" t="n">
        <f aca="false">AA14+AB13</f>
        <v>239453.458637117</v>
      </c>
      <c r="AC14" s="25" t="n">
        <f aca="false">AB14+AC13</f>
        <v>271960.517739079</v>
      </c>
      <c r="AD14" s="25" t="n">
        <f aca="false">AC14+AD13</f>
        <v>307013.002863493</v>
      </c>
      <c r="AE14" s="25" t="n">
        <f aca="false">AD14+AE13</f>
        <v>344547.278359796</v>
      </c>
    </row>
    <row r="16" customFormat="false" ht="15" hidden="false" customHeight="false" outlineLevel="0" collapsed="false">
      <c r="B16" s="17" t="s">
        <v>134</v>
      </c>
    </row>
    <row r="17" customFormat="false" ht="15" hidden="false" customHeight="false" outlineLevel="0" collapsed="false">
      <c r="B17" s="6" t="s">
        <v>132</v>
      </c>
      <c r="C17" s="12" t="n">
        <f aca="false">'Flujo mensual'!C16*Supuestos!$C$21+C7</f>
        <v>0</v>
      </c>
      <c r="D17" s="12" t="n">
        <f aca="false">'Flujo mensual'!D16*Supuestos!$C$21+D7</f>
        <v>0</v>
      </c>
      <c r="E17" s="12" t="n">
        <f aca="false">'Flujo mensual'!E16*Supuestos!$C$21+E7</f>
        <v>0</v>
      </c>
      <c r="F17" s="12" t="n">
        <f aca="false">'Flujo mensual'!F16*Supuestos!$C$21+F7</f>
        <v>0</v>
      </c>
      <c r="G17" s="12" t="n">
        <f aca="false">'Flujo mensual'!G16*Supuestos!$C$21+G7</f>
        <v>197.5</v>
      </c>
      <c r="H17" s="12" t="n">
        <f aca="false">'Flujo mensual'!H16*Supuestos!$C$21+H7</f>
        <v>488.8125</v>
      </c>
      <c r="I17" s="12" t="n">
        <f aca="false">'Flujo mensual'!I16*Supuestos!$C$21+I7</f>
        <v>871.5921875</v>
      </c>
      <c r="J17" s="12" t="n">
        <f aca="false">'Flujo mensual'!J16*Supuestos!$C$21+J7</f>
        <v>2666.696375</v>
      </c>
      <c r="K17" s="12" t="n">
        <f aca="false">'Flujo mensual'!K16*Supuestos!$C$21+K7</f>
        <v>3776.028965625</v>
      </c>
      <c r="L17" s="12" t="n">
        <f aca="false">'Flujo mensual'!L16*Supuestos!$C$21+L7</f>
        <v>5053.62824148437</v>
      </c>
      <c r="M17" s="12" t="n">
        <f aca="false">'Flujo mensual'!M16*Supuestos!$C$21+M7</f>
        <v>6495.28753544727</v>
      </c>
      <c r="N17" s="12" t="n">
        <f aca="false">'Flujo mensual'!N16*Supuestos!$C$21+N7</f>
        <v>8096.90534706108</v>
      </c>
      <c r="O17" s="12" t="n">
        <f aca="false">'Flujo mensual'!O16*Supuestos!$C$21+O7</f>
        <v>9658.48271338456</v>
      </c>
      <c r="P17" s="12" t="n">
        <f aca="false">'Flujo mensual'!P16*Supuestos!$C$21+P7</f>
        <v>11377.0206455499</v>
      </c>
      <c r="Q17" s="12" t="n">
        <f aca="false">'Flujo mensual'!Q16*Supuestos!$C$21+Q7</f>
        <v>13052.5951294112</v>
      </c>
      <c r="R17" s="12" t="n">
        <f aca="false">'Flujo mensual'!R16*Supuestos!$C$21+R7</f>
        <v>14686.2802511759</v>
      </c>
      <c r="S17" s="12" t="n">
        <f aca="false">'Flujo mensual'!S16*Supuestos!$C$21+S7</f>
        <v>16279.1232448965</v>
      </c>
      <c r="T17" s="12" t="n">
        <f aca="false">'Flujo mensual'!T16*Supuestos!$C$21+T7</f>
        <v>18224.1451637741</v>
      </c>
      <c r="U17" s="12" t="n">
        <f aca="false">'Flujo mensual'!U16*Supuestos!$C$21+U7</f>
        <v>20120.5415346798</v>
      </c>
      <c r="V17" s="12" t="n">
        <f aca="false">'Flujo mensual'!V16*Supuestos!$C$21+V7</f>
        <v>21969.5279963128</v>
      </c>
      <c r="W17" s="12" t="n">
        <f aca="false">'Flujo mensual'!W16*Supuestos!$C$21+W7</f>
        <v>24164.2897964049</v>
      </c>
      <c r="X17" s="12" t="n">
        <f aca="false">'Flujo mensual'!X16*Supuestos!$C$21+X7</f>
        <v>26304.1825514948</v>
      </c>
      <c r="Y17" s="12" t="n">
        <f aca="false">'Flujo mensual'!Y16*Supuestos!$C$21+Y7</f>
        <v>28390.5779877074</v>
      </c>
      <c r="Z17" s="12" t="n">
        <f aca="false">'Flujo mensual'!Z16*Supuestos!$C$21+Z7</f>
        <v>30620.8135380147</v>
      </c>
      <c r="AA17" s="12" t="n">
        <f aca="false">'Flujo mensual'!AA16*Supuestos!$C$21+AA7</f>
        <v>32795.2931995644</v>
      </c>
      <c r="AB17" s="12" t="n">
        <f aca="false">'Flujo mensual'!AB16*Supuestos!$C$21+AB7</f>
        <v>34915.4108695753</v>
      </c>
      <c r="AC17" s="12" t="n">
        <f aca="false">'Flujo mensual'!AC16*Supuestos!$C$21+AC7</f>
        <v>37178.5255978359</v>
      </c>
      <c r="AD17" s="12" t="n">
        <f aca="false">'Flujo mensual'!AD16*Supuestos!$C$21+AD7</f>
        <v>39385.06245789</v>
      </c>
      <c r="AE17" s="12" t="n">
        <f aca="false">'Flujo mensual'!AE16*Supuestos!$C$21+AE7</f>
        <v>41536.4358964427</v>
      </c>
    </row>
    <row r="18" customFormat="false" ht="15" hidden="false" customHeight="false" outlineLevel="0" collapsed="false">
      <c r="B18" s="6" t="s">
        <v>116</v>
      </c>
      <c r="C18" s="12" t="n">
        <f aca="false">C17+C5-C17*Supuestos!$B$37+C6-IF(C17&gt;0,Supuestos!$B$39+C17*Supuestos!$B$41*Supuestos!$B$40,0)</f>
        <v>-1065</v>
      </c>
      <c r="D18" s="12" t="n">
        <f aca="false">D17+D5-D17*Supuestos!$B$37+D6-IF(D17&gt;0,Supuestos!$B$39+D17*Supuestos!$B$41*Supuestos!$B$40,0)</f>
        <v>-1206</v>
      </c>
      <c r="E18" s="12" t="n">
        <f aca="false">E17+E5-E17*Supuestos!$B$37+E6-IF(E17&gt;0,Supuestos!$B$39+E17*Supuestos!$B$41*Supuestos!$B$40,0)</f>
        <v>-2076</v>
      </c>
      <c r="F18" s="12" t="n">
        <f aca="false">F17+F5-F17*Supuestos!$B$37+F6-IF(F17&gt;0,Supuestos!$B$39+F17*Supuestos!$B$41*Supuestos!$B$40,0)</f>
        <v>-1401</v>
      </c>
      <c r="G18" s="12" t="n">
        <f aca="false">G17+G5-G17*Supuestos!$B$37+G6-IF(G17&gt;0,Supuestos!$B$39+G17*Supuestos!$B$41*Supuestos!$B$40,0)</f>
        <v>-1293.375</v>
      </c>
      <c r="H18" s="12" t="n">
        <f aca="false">H17+H5-H17*Supuestos!$B$37+H6-IF(H17&gt;0,Supuestos!$B$39+H17*Supuestos!$B$41*Supuestos!$B$40,0)</f>
        <v>-2615.628125</v>
      </c>
      <c r="I18" s="12" t="n">
        <f aca="false">I17+I5-I17*Supuestos!$B$37+I6-IF(I17&gt;0,Supuestos!$B$39+I17*Supuestos!$B$41*Supuestos!$B$40,0)</f>
        <v>-2619.512421875</v>
      </c>
      <c r="J18" s="12" t="n">
        <f aca="false">J17+J5-J17*Supuestos!$B$37+J6-IF(J17&gt;0,Supuestos!$B$39+J17*Supuestos!$B$41*Supuestos!$B$40,0)</f>
        <v>-1009.75031875</v>
      </c>
      <c r="K18" s="12" t="n">
        <f aca="false">K17+K5-K17*Supuestos!$B$37+K6-IF(K17&gt;0,Supuestos!$B$39+K17*Supuestos!$B$41*Supuestos!$B$40,0)</f>
        <v>-269.08156078125</v>
      </c>
      <c r="L18" s="12" t="n">
        <f aca="false">L17+L5-L17*Supuestos!$B$37+L6-IF(L17&gt;0,Supuestos!$B$39+L17*Supuestos!$B$41*Supuestos!$B$40,0)</f>
        <v>814.27047823828</v>
      </c>
      <c r="M18" s="12" t="n">
        <f aca="false">M17+M5-M17*Supuestos!$B$37+M6-IF(M17&gt;0,Supuestos!$B$39+M17*Supuestos!$B$41*Supuestos!$B$40,0)</f>
        <v>2036.73871628232</v>
      </c>
      <c r="N18" s="12" t="n">
        <f aca="false">N17+N5-N17*Supuestos!$B$37+N6-IF(N17&gt;0,Supuestos!$B$39+N17*Supuestos!$B$41*Supuestos!$B$40,0)</f>
        <v>894.845248375265</v>
      </c>
      <c r="O18" s="12" t="n">
        <f aca="false">O17+O5-O17*Supuestos!$B$37+O6-IF(O17&gt;0,Supuestos!$B$39+O17*Supuestos!$B$41*Supuestos!$B$40,0)</f>
        <v>2218.99911716588</v>
      </c>
      <c r="P18" s="12" t="n">
        <f aca="false">P17+P5-P17*Supuestos!$B$37+P6-IF(P17&gt;0,Supuestos!$B$39+P17*Supuestos!$B$41*Supuestos!$B$40,0)</f>
        <v>3476.24913923674</v>
      </c>
      <c r="Q18" s="12" t="n">
        <f aca="false">Q17+Q5-Q17*Supuestos!$B$37+Q6-IF(Q17&gt;0,Supuestos!$B$39+Q17*Supuestos!$B$41*Supuestos!$B$40,0)</f>
        <v>4897.06791075582</v>
      </c>
      <c r="R18" s="12" t="n">
        <f aca="false">R17+R5-R17*Supuestos!$B$37+R6-IF(R17&gt;0,Supuestos!$B$39+R17*Supuestos!$B$41*Supuestos!$B$40,0)</f>
        <v>6282.36621298692</v>
      </c>
      <c r="S18" s="12" t="n">
        <f aca="false">S17+S5-S17*Supuestos!$B$37+S6-IF(S17&gt;0,Supuestos!$B$39+S17*Supuestos!$B$41*Supuestos!$B$40,0)</f>
        <v>7633.03205766225</v>
      </c>
      <c r="T18" s="12" t="n">
        <f aca="false">T17+T5-T17*Supuestos!$B$37+T6-IF(T17&gt;0,Supuestos!$B$39+T17*Supuestos!$B$41*Supuestos!$B$40,0)</f>
        <v>5918.3312562207</v>
      </c>
      <c r="U18" s="12" t="n">
        <f aca="false">U17+U5-U17*Supuestos!$B$37+U6-IF(U17&gt;0,Supuestos!$B$39+U17*Supuestos!$B$41*Supuestos!$B$40,0)</f>
        <v>7526.39797481517</v>
      </c>
      <c r="V18" s="12" t="n">
        <f aca="false">V17+V5-V17*Supuestos!$B$37+V6-IF(V17&gt;0,Supuestos!$B$39+V17*Supuestos!$B$41*Supuestos!$B$40,0)</f>
        <v>9094.26302544479</v>
      </c>
      <c r="W18" s="12" t="n">
        <f aca="false">W17+W5-W17*Supuestos!$B$37+W6-IF(W17&gt;0,Supuestos!$B$39+W17*Supuestos!$B$41*Supuestos!$B$40,0)</f>
        <v>10955.3314498087</v>
      </c>
      <c r="X18" s="12" t="n">
        <f aca="false">X17+X5-X17*Supuestos!$B$37+X6-IF(X17&gt;0,Supuestos!$B$39+X17*Supuestos!$B$41*Supuestos!$B$40,0)</f>
        <v>12769.8731635635</v>
      </c>
      <c r="Y18" s="12" t="n">
        <f aca="false">Y17+Y5-Y17*Supuestos!$B$37+Y6-IF(Y17&gt;0,Supuestos!$B$39+Y17*Supuestos!$B$41*Supuestos!$B$40,0)</f>
        <v>14539.0513344744</v>
      </c>
      <c r="Z18" s="12" t="n">
        <f aca="false">Z17+Z5-Z17*Supuestos!$B$37+Z6-IF(Z17&gt;0,Supuestos!$B$39+Z17*Supuestos!$B$41*Supuestos!$B$40,0)</f>
        <v>14430.2000511125</v>
      </c>
      <c r="AA18" s="12" t="n">
        <f aca="false">AA17+AA5-AA17*Supuestos!$B$37+AA6-IF(AA17&gt;0,Supuestos!$B$39+AA17*Supuestos!$B$41*Supuestos!$B$40,0)</f>
        <v>16274.0700498347</v>
      </c>
      <c r="AB18" s="12" t="n">
        <f aca="false">AB17+AB5-AB17*Supuestos!$B$37+AB6-IF(AB17&gt;0,Supuestos!$B$39+AB17*Supuestos!$B$41*Supuestos!$B$40,0)</f>
        <v>18071.8432985888</v>
      </c>
      <c r="AC18" s="12" t="n">
        <f aca="false">AC17+AC5-AC17*Supuestos!$B$37+AC6-IF(AC17&gt;0,Supuestos!$B$39+AC17*Supuestos!$B$41*Supuestos!$B$40,0)</f>
        <v>19990.8722161241</v>
      </c>
      <c r="AD18" s="12" t="n">
        <f aca="false">AD17+AD5-AD17*Supuestos!$B$37+AD6-IF(AD17&gt;0,Supuestos!$B$39+AD17*Supuestos!$B$41*Supuestos!$B$40,0)</f>
        <v>21861.925410721</v>
      </c>
      <c r="AE18" s="12" t="n">
        <f aca="false">AE17+AE5-AE17*Supuestos!$B$37+AE6-IF(AE17&gt;0,Supuestos!$B$39+AE17*Supuestos!$B$41*Supuestos!$B$40,0)</f>
        <v>23686.202275453</v>
      </c>
    </row>
    <row r="19" customFormat="false" ht="15" hidden="false" customHeight="false" outlineLevel="0" collapsed="false">
      <c r="B19" s="3" t="s">
        <v>133</v>
      </c>
      <c r="C19" s="24" t="n">
        <f aca="false">C18-MAX(0,C18)*Supuestos!$B$43+C8</f>
        <v>-1215</v>
      </c>
      <c r="D19" s="24" t="n">
        <f aca="false">D18-MAX(0,D18)*Supuestos!$B$43+D8</f>
        <v>-1206</v>
      </c>
      <c r="E19" s="24" t="n">
        <f aca="false">E18-MAX(0,E18)*Supuestos!$B$43+E8</f>
        <v>-2076</v>
      </c>
      <c r="F19" s="24" t="n">
        <f aca="false">F18-MAX(0,F18)*Supuestos!$B$43+F8</f>
        <v>-1401</v>
      </c>
      <c r="G19" s="24" t="n">
        <f aca="false">G18-MAX(0,G18)*Supuestos!$B$43+G8</f>
        <v>-1293.375</v>
      </c>
      <c r="H19" s="24" t="n">
        <f aca="false">H18-MAX(0,H18)*Supuestos!$B$43+H8</f>
        <v>-2615.628125</v>
      </c>
      <c r="I19" s="24" t="n">
        <f aca="false">I18-MAX(0,I18)*Supuestos!$B$43+I8</f>
        <v>-2619.512421875</v>
      </c>
      <c r="J19" s="24" t="n">
        <f aca="false">J18-MAX(0,J18)*Supuestos!$B$43+J8</f>
        <v>-1009.75031875</v>
      </c>
      <c r="K19" s="24" t="n">
        <f aca="false">K18-MAX(0,K18)*Supuestos!$B$43+K8</f>
        <v>-269.08156078125</v>
      </c>
      <c r="L19" s="24" t="n">
        <f aca="false">L18-MAX(0,L18)*Supuestos!$B$43+L8</f>
        <v>732.843430414452</v>
      </c>
      <c r="M19" s="24" t="n">
        <f aca="false">M18-MAX(0,M18)*Supuestos!$B$43+M8</f>
        <v>1833.06484465409</v>
      </c>
      <c r="N19" s="24" t="n">
        <f aca="false">N18-MAX(0,N18)*Supuestos!$B$43+N8</f>
        <v>805.360723537739</v>
      </c>
      <c r="O19" s="24" t="n">
        <f aca="false">O18-MAX(0,O18)*Supuestos!$B$43+O8</f>
        <v>1997.09920544929</v>
      </c>
      <c r="P19" s="24" t="n">
        <f aca="false">P18-MAX(0,P18)*Supuestos!$B$43+P8</f>
        <v>3128.62422531306</v>
      </c>
      <c r="Q19" s="24" t="n">
        <f aca="false">Q18-MAX(0,Q18)*Supuestos!$B$43+Q8</f>
        <v>4407.36111968024</v>
      </c>
      <c r="R19" s="24" t="n">
        <f aca="false">R18-MAX(0,R18)*Supuestos!$B$43+R8</f>
        <v>5654.12959168823</v>
      </c>
      <c r="S19" s="24" t="n">
        <f aca="false">S18-MAX(0,S18)*Supuestos!$B$43+S8</f>
        <v>6869.72885189602</v>
      </c>
      <c r="T19" s="24" t="n">
        <f aca="false">T18-MAX(0,T18)*Supuestos!$B$43+T8</f>
        <v>5326.49813059863</v>
      </c>
      <c r="U19" s="24" t="n">
        <f aca="false">U18-MAX(0,U18)*Supuestos!$B$43+U8</f>
        <v>6773.75817733366</v>
      </c>
      <c r="V19" s="24" t="n">
        <f aca="false">V18-MAX(0,V18)*Supuestos!$B$43+V8</f>
        <v>8184.83672290031</v>
      </c>
      <c r="W19" s="24" t="n">
        <f aca="false">W18-MAX(0,W18)*Supuestos!$B$43+W8</f>
        <v>9859.7983048278</v>
      </c>
      <c r="X19" s="24" t="n">
        <f aca="false">X18-MAX(0,X18)*Supuestos!$B$43+X8</f>
        <v>11492.8858472071</v>
      </c>
      <c r="Y19" s="24" t="n">
        <f aca="false">Y18-MAX(0,Y18)*Supuestos!$B$43+Y8</f>
        <v>13085.1462010269</v>
      </c>
      <c r="Z19" s="24" t="n">
        <f aca="false">Z18-MAX(0,Z18)*Supuestos!$B$43+Z8</f>
        <v>12987.1800460013</v>
      </c>
      <c r="AA19" s="24" t="n">
        <f aca="false">AA18-MAX(0,AA18)*Supuestos!$B$43+AA8</f>
        <v>14646.6630448512</v>
      </c>
      <c r="AB19" s="24" t="n">
        <f aca="false">AB18-MAX(0,AB18)*Supuestos!$B$43+AB8</f>
        <v>16264.6589687299</v>
      </c>
      <c r="AC19" s="24" t="n">
        <f aca="false">AC18-MAX(0,AC18)*Supuestos!$B$43+AC8</f>
        <v>17991.7849945117</v>
      </c>
      <c r="AD19" s="24" t="n">
        <f aca="false">AD18-MAX(0,AD18)*Supuestos!$B$43+AD8</f>
        <v>19675.7328696489</v>
      </c>
      <c r="AE19" s="24" t="n">
        <f aca="false">AE18-MAX(0,AE18)*Supuestos!$B$43+AE8</f>
        <v>21317.5820479077</v>
      </c>
    </row>
    <row r="20" customFormat="false" ht="15" hidden="false" customHeight="false" outlineLevel="0" collapsed="false">
      <c r="B20" s="3" t="s">
        <v>123</v>
      </c>
      <c r="C20" s="25" t="n">
        <f aca="false">Supuestos!$B$45+C19</f>
        <v>-1215</v>
      </c>
      <c r="D20" s="25" t="n">
        <f aca="false">C20+D19</f>
        <v>-2421</v>
      </c>
      <c r="E20" s="25" t="n">
        <f aca="false">D20+E19</f>
        <v>-4497</v>
      </c>
      <c r="F20" s="25" t="n">
        <f aca="false">E20+F19</f>
        <v>-5898</v>
      </c>
      <c r="G20" s="25" t="n">
        <f aca="false">F20+G19</f>
        <v>-7191.375</v>
      </c>
      <c r="H20" s="25" t="n">
        <f aca="false">G20+H19</f>
        <v>-9807.003125</v>
      </c>
      <c r="I20" s="25" t="n">
        <f aca="false">H20+I19</f>
        <v>-12426.515546875</v>
      </c>
      <c r="J20" s="25" t="n">
        <f aca="false">I20+J19</f>
        <v>-13436.265865625</v>
      </c>
      <c r="K20" s="25" t="n">
        <f aca="false">J20+K19</f>
        <v>-13705.3474264063</v>
      </c>
      <c r="L20" s="25" t="n">
        <f aca="false">K20+L19</f>
        <v>-12972.5039959918</v>
      </c>
      <c r="M20" s="25" t="n">
        <f aca="false">L20+M19</f>
        <v>-11139.4391513377</v>
      </c>
      <c r="N20" s="25" t="n">
        <f aca="false">M20+N19</f>
        <v>-10334.0784278</v>
      </c>
      <c r="O20" s="25" t="n">
        <f aca="false">N20+O19</f>
        <v>-8336.97922235067</v>
      </c>
      <c r="P20" s="25" t="n">
        <f aca="false">O20+P19</f>
        <v>-5208.35499703761</v>
      </c>
      <c r="Q20" s="25" t="n">
        <f aca="false">P20+Q19</f>
        <v>-800.993877357376</v>
      </c>
      <c r="R20" s="25" t="n">
        <f aca="false">Q20+R19</f>
        <v>4853.13571433085</v>
      </c>
      <c r="S20" s="25" t="n">
        <f aca="false">R20+S19</f>
        <v>11722.8645662269</v>
      </c>
      <c r="T20" s="25" t="n">
        <f aca="false">S20+T19</f>
        <v>17049.3626968255</v>
      </c>
      <c r="U20" s="25" t="n">
        <f aca="false">T20+U19</f>
        <v>23823.1208741592</v>
      </c>
      <c r="V20" s="25" t="n">
        <f aca="false">U20+V19</f>
        <v>32007.9575970595</v>
      </c>
      <c r="W20" s="25" t="n">
        <f aca="false">V20+W19</f>
        <v>41867.7559018873</v>
      </c>
      <c r="X20" s="25" t="n">
        <f aca="false">W20+X19</f>
        <v>53360.6417490944</v>
      </c>
      <c r="Y20" s="25" t="n">
        <f aca="false">X20+Y19</f>
        <v>66445.7879501213</v>
      </c>
      <c r="Z20" s="25" t="n">
        <f aca="false">Y20+Z19</f>
        <v>79432.9679961226</v>
      </c>
      <c r="AA20" s="25" t="n">
        <f aca="false">Z20+AA19</f>
        <v>94079.6310409738</v>
      </c>
      <c r="AB20" s="25" t="n">
        <f aca="false">AA20+AB19</f>
        <v>110344.290009704</v>
      </c>
      <c r="AC20" s="25" t="n">
        <f aca="false">AB20+AC19</f>
        <v>128336.075004215</v>
      </c>
      <c r="AD20" s="25" t="n">
        <f aca="false">AC20+AD19</f>
        <v>148011.807873864</v>
      </c>
      <c r="AE20" s="25" t="n">
        <f aca="false">AD20+AE19</f>
        <v>169329.389921772</v>
      </c>
    </row>
    <row r="22" customFormat="false" ht="15" hidden="false" customHeight="false" outlineLevel="0" collapsed="false">
      <c r="B22" s="17" t="s">
        <v>135</v>
      </c>
    </row>
    <row r="23" customFormat="false" ht="15" hidden="false" customHeight="false" outlineLevel="0" collapsed="false">
      <c r="B23" s="6" t="s">
        <v>132</v>
      </c>
      <c r="C23" s="12" t="n">
        <f aca="false">'Flujo mensual'!C16*Supuestos!$D$21+C7</f>
        <v>0</v>
      </c>
      <c r="D23" s="12" t="n">
        <f aca="false">'Flujo mensual'!D16*Supuestos!$D$21+D7</f>
        <v>0</v>
      </c>
      <c r="E23" s="12" t="n">
        <f aca="false">'Flujo mensual'!E16*Supuestos!$D$21+E7</f>
        <v>0</v>
      </c>
      <c r="F23" s="12" t="n">
        <f aca="false">'Flujo mensual'!F16*Supuestos!$D$21+F7</f>
        <v>0</v>
      </c>
      <c r="G23" s="12" t="n">
        <f aca="false">'Flujo mensual'!G16*Supuestos!$D$21+G7</f>
        <v>387</v>
      </c>
      <c r="H23" s="12" t="n">
        <f aca="false">'Flujo mensual'!H16*Supuestos!$D$21+H7</f>
        <v>957.825</v>
      </c>
      <c r="I23" s="12" t="n">
        <f aca="false">'Flujo mensual'!I16*Supuestos!$D$21+I7</f>
        <v>1707.879375</v>
      </c>
      <c r="J23" s="12" t="n">
        <f aca="false">'Flujo mensual'!J16*Supuestos!$D$21+J7</f>
        <v>5244.956390625</v>
      </c>
      <c r="K23" s="12" t="n">
        <f aca="false">'Flujo mensual'!K16*Supuestos!$D$21+K7</f>
        <v>7426.83248085938</v>
      </c>
      <c r="L23" s="12" t="n">
        <f aca="false">'Flujo mensual'!L16*Supuestos!$D$21+L7</f>
        <v>9939.66166883789</v>
      </c>
      <c r="M23" s="12" t="n">
        <f aca="false">'Flujo mensual'!M16*Supuestos!$D$21+M7</f>
        <v>12775.1701271169</v>
      </c>
      <c r="N23" s="12" t="n">
        <f aca="false">'Flujo mensual'!N16*Supuestos!$D$21+N7</f>
        <v>15925.290873939</v>
      </c>
      <c r="O23" s="12" t="n">
        <f aca="false">'Flujo mensual'!O16*Supuestos!$D$21+O7</f>
        <v>18996.6586020905</v>
      </c>
      <c r="P23" s="12" t="n">
        <f aca="false">'Flujo mensual'!P16*Supuestos!$D$21+P7</f>
        <v>22376.7421370383</v>
      </c>
      <c r="Q23" s="12" t="n">
        <f aca="false">'Flujo mensual'!Q16*Supuestos!$D$21+Q7</f>
        <v>25672.3235836123</v>
      </c>
      <c r="R23" s="12" t="n">
        <f aca="false">'Flujo mensual'!R16*Supuestos!$D$21+R7</f>
        <v>28885.515494022</v>
      </c>
      <c r="S23" s="12" t="n">
        <f aca="false">'Flujo mensual'!S16*Supuestos!$D$21+S7</f>
        <v>32018.3776066715</v>
      </c>
      <c r="T23" s="12" t="n">
        <f aca="false">'Flujo mensual'!T16*Supuestos!$D$21+T7</f>
        <v>35843.9181665047</v>
      </c>
      <c r="U23" s="12" t="n">
        <f aca="false">'Flujo mensual'!U16*Supuestos!$D$21+U7</f>
        <v>39573.8202123421</v>
      </c>
      <c r="V23" s="12" t="n">
        <f aca="false">'Flujo mensual'!V16*Supuestos!$D$21+V7</f>
        <v>43210.4747070335</v>
      </c>
      <c r="W23" s="12" t="n">
        <f aca="false">'Flujo mensual'!W16*Supuestos!$D$21+W7</f>
        <v>47527.2128393577</v>
      </c>
      <c r="X23" s="12" t="n">
        <f aca="false">'Flujo mensual'!X16*Supuestos!$D$21+X7</f>
        <v>51736.0325183737</v>
      </c>
      <c r="Y23" s="12" t="n">
        <f aca="false">'Flujo mensual'!Y16*Supuestos!$D$21+Y7</f>
        <v>55839.6317054144</v>
      </c>
      <c r="Z23" s="12" t="n">
        <f aca="false">'Flujo mensual'!Z16*Supuestos!$D$21+Z7</f>
        <v>60226.140912779</v>
      </c>
      <c r="AA23" s="12" t="n">
        <f aca="false">'Flujo mensual'!AA16*Supuestos!$D$21+AA7</f>
        <v>64502.9873899595</v>
      </c>
      <c r="AB23" s="12" t="n">
        <f aca="false">'Flujo mensual'!AB16*Supuestos!$D$21+AB7</f>
        <v>68672.9127052105</v>
      </c>
      <c r="AC23" s="12" t="n">
        <f aca="false">'Flujo mensual'!AC16*Supuestos!$D$21+AC7</f>
        <v>73124.0898875803</v>
      </c>
      <c r="AD23" s="12" t="n">
        <f aca="false">'Flujo mensual'!AD16*Supuestos!$D$21+AD7</f>
        <v>77463.9876403908</v>
      </c>
      <c r="AE23" s="12" t="n">
        <f aca="false">'Flujo mensual'!AE16*Supuestos!$D$21+AE7</f>
        <v>81695.387949381</v>
      </c>
    </row>
    <row r="24" customFormat="false" ht="15" hidden="false" customHeight="false" outlineLevel="0" collapsed="false">
      <c r="B24" s="6" t="s">
        <v>116</v>
      </c>
      <c r="C24" s="12" t="n">
        <f aca="false">C23+C5-C23*Supuestos!$B$37+C6-IF(C23&gt;0,Supuestos!$B$39+C23*Supuestos!$B$41*Supuestos!$B$40,0)</f>
        <v>-1065</v>
      </c>
      <c r="D24" s="12" t="n">
        <f aca="false">D23+D5-D23*Supuestos!$B$37+D6-IF(D23&gt;0,Supuestos!$B$39+D23*Supuestos!$B$41*Supuestos!$B$40,0)</f>
        <v>-1206</v>
      </c>
      <c r="E24" s="12" t="n">
        <f aca="false">E23+E5-E23*Supuestos!$B$37+E6-IF(E23&gt;0,Supuestos!$B$39+E23*Supuestos!$B$41*Supuestos!$B$40,0)</f>
        <v>-2076</v>
      </c>
      <c r="F24" s="12" t="n">
        <f aca="false">F23+F5-F23*Supuestos!$B$37+F6-IF(F23&gt;0,Supuestos!$B$39+F23*Supuestos!$B$41*Supuestos!$B$40,0)</f>
        <v>-1401</v>
      </c>
      <c r="G24" s="12" t="n">
        <f aca="false">G23+G5-G23*Supuestos!$B$37+G6-IF(G23&gt;0,Supuestos!$B$39+G23*Supuestos!$B$41*Supuestos!$B$40,0)</f>
        <v>-1113.35</v>
      </c>
      <c r="H24" s="12" t="n">
        <f aca="false">H23+H5-H23*Supuestos!$B$37+H6-IF(H23&gt;0,Supuestos!$B$39+H23*Supuestos!$B$41*Supuestos!$B$40,0)</f>
        <v>-2170.06625</v>
      </c>
      <c r="I24" s="12" t="n">
        <f aca="false">I23+I5-I23*Supuestos!$B$37+I6-IF(I23&gt;0,Supuestos!$B$39+I23*Supuestos!$B$41*Supuestos!$B$40,0)</f>
        <v>-1825.03959375</v>
      </c>
      <c r="J24" s="12" t="n">
        <f aca="false">J23+J5-J23*Supuestos!$B$37+J6-IF(J23&gt;0,Supuestos!$B$39+J23*Supuestos!$B$41*Supuestos!$B$40,0)</f>
        <v>1439.59669609375</v>
      </c>
      <c r="K24" s="12" t="n">
        <f aca="false">K23+K5-K23*Supuestos!$B$37+K6-IF(K23&gt;0,Supuestos!$B$39+K23*Supuestos!$B$41*Supuestos!$B$40,0)</f>
        <v>3199.18177869141</v>
      </c>
      <c r="L24" s="12" t="n">
        <f aca="false">L23+L5-L23*Supuestos!$B$37+L6-IF(L23&gt;0,Supuestos!$B$39+L23*Supuestos!$B$41*Supuestos!$B$40,0)</f>
        <v>5456.00223422412</v>
      </c>
      <c r="M24" s="12" t="n">
        <f aca="false">M23+M5-M23*Supuestos!$B$37+M6-IF(M23&gt;0,Supuestos!$B$39+M23*Supuestos!$B$41*Supuestos!$B$40,0)</f>
        <v>8002.62717836852</v>
      </c>
      <c r="N24" s="12" t="n">
        <f aca="false">N23+N5-N23*Supuestos!$B$37+N6-IF(N23&gt;0,Supuestos!$B$39+N23*Supuestos!$B$41*Supuestos!$B$40,0)</f>
        <v>8331.81149890931</v>
      </c>
      <c r="O24" s="12" t="n">
        <f aca="false">O23+O5-O23*Supuestos!$B$37+O6-IF(O23&gt;0,Supuestos!$B$39+O23*Supuestos!$B$41*Supuestos!$B$40,0)</f>
        <v>11090.2662114366</v>
      </c>
      <c r="P24" s="12" t="n">
        <f aca="false">P23+P5-P23*Supuestos!$B$37+P6-IF(P23&gt;0,Supuestos!$B$39+P23*Supuestos!$B$41*Supuestos!$B$40,0)</f>
        <v>13925.9845561507</v>
      </c>
      <c r="Q24" s="12" t="n">
        <f aca="false">Q23+Q5-Q23*Supuestos!$B$37+Q6-IF(Q23&gt;0,Supuestos!$B$39+Q23*Supuestos!$B$41*Supuestos!$B$40,0)</f>
        <v>16885.8099422469</v>
      </c>
      <c r="R24" s="12" t="n">
        <f aca="false">R23+R5-R23*Supuestos!$B$37+R6-IF(R23&gt;0,Supuestos!$B$39+R23*Supuestos!$B$41*Supuestos!$B$40,0)</f>
        <v>19771.6396936907</v>
      </c>
      <c r="S24" s="12" t="n">
        <f aca="false">S23+S5-S23*Supuestos!$B$37+S6-IF(S23&gt;0,Supuestos!$B$39+S23*Supuestos!$B$41*Supuestos!$B$40,0)</f>
        <v>22585.3237013484</v>
      </c>
      <c r="T24" s="12" t="n">
        <f aca="false">T23+T5-T23*Supuestos!$B$37+T6-IF(T23&gt;0,Supuestos!$B$39+T23*Supuestos!$B$41*Supuestos!$B$40,0)</f>
        <v>22657.1156088147</v>
      </c>
      <c r="U24" s="12" t="n">
        <f aca="false">U23+U5-U23*Supuestos!$B$37+U6-IF(U23&gt;0,Supuestos!$B$39+U23*Supuestos!$B$41*Supuestos!$B$40,0)</f>
        <v>26007.0127185944</v>
      </c>
      <c r="V24" s="12" t="n">
        <f aca="false">V23+V5-V23*Supuestos!$B$37+V6-IF(V23&gt;0,Supuestos!$B$39+V23*Supuestos!$B$41*Supuestos!$B$40,0)</f>
        <v>29273.1624006295</v>
      </c>
      <c r="W24" s="12" t="n">
        <f aca="false">W23+W5-W23*Supuestos!$B$37+W6-IF(W23&gt;0,Supuestos!$B$39+W23*Supuestos!$B$41*Supuestos!$B$40,0)</f>
        <v>33150.1083406138</v>
      </c>
      <c r="X24" s="12" t="n">
        <f aca="false">X23+X5-X23*Supuestos!$B$37+X6-IF(X23&gt;0,Supuestos!$B$39+X23*Supuestos!$B$41*Supuestos!$B$40,0)</f>
        <v>36930.1306320984</v>
      </c>
      <c r="Y24" s="12" t="n">
        <f aca="false">Y23+Y5-Y23*Supuestos!$B$37+Y6-IF(Y23&gt;0,Supuestos!$B$39+Y23*Supuestos!$B$41*Supuestos!$B$40,0)</f>
        <v>40615.652366296</v>
      </c>
      <c r="Z24" s="12" t="n">
        <f aca="false">Z23+Z5-Z23*Supuestos!$B$37+Z6-IF(Z23&gt;0,Supuestos!$B$39+Z23*Supuestos!$B$41*Supuestos!$B$40,0)</f>
        <v>42555.2610571386</v>
      </c>
      <c r="AA24" s="12" t="n">
        <f aca="false">AA23+AA5-AA23*Supuestos!$B$37+AA6-IF(AA23&gt;0,Supuestos!$B$39+AA23*Supuestos!$B$41*Supuestos!$B$40,0)</f>
        <v>46396.3795307101</v>
      </c>
      <c r="AB24" s="12" t="n">
        <f aca="false">AB23+AB5-AB23*Supuestos!$B$37+AB6-IF(AB23&gt;0,Supuestos!$B$39+AB23*Supuestos!$B$41*Supuestos!$B$40,0)</f>
        <v>50141.4700424423</v>
      </c>
      <c r="AC24" s="12" t="n">
        <f aca="false">AC23+AC5-AC23*Supuestos!$B$37+AC6-IF(AC23&gt;0,Supuestos!$B$39+AC23*Supuestos!$B$41*Supuestos!$B$40,0)</f>
        <v>54139.1582913813</v>
      </c>
      <c r="AD24" s="12" t="n">
        <f aca="false">AD23+AD5-AD23*Supuestos!$B$37+AD6-IF(AD23&gt;0,Supuestos!$B$39+AD23*Supuestos!$B$41*Supuestos!$B$40,0)</f>
        <v>58036.9043340967</v>
      </c>
      <c r="AE24" s="12" t="n">
        <f aca="false">AE23+AE5-AE23*Supuestos!$B$37+AE6-IF(AE23&gt;0,Supuestos!$B$39+AE23*Supuestos!$B$41*Supuestos!$B$40,0)</f>
        <v>61837.2067257443</v>
      </c>
    </row>
    <row r="25" customFormat="false" ht="15" hidden="false" customHeight="false" outlineLevel="0" collapsed="false">
      <c r="B25" s="3" t="s">
        <v>133</v>
      </c>
      <c r="C25" s="24" t="n">
        <f aca="false">C24-MAX(0,C24)*Supuestos!$B$43+C8</f>
        <v>-1215</v>
      </c>
      <c r="D25" s="24" t="n">
        <f aca="false">D24-MAX(0,D24)*Supuestos!$B$43+D8</f>
        <v>-1206</v>
      </c>
      <c r="E25" s="24" t="n">
        <f aca="false">E24-MAX(0,E24)*Supuestos!$B$43+E8</f>
        <v>-2076</v>
      </c>
      <c r="F25" s="24" t="n">
        <f aca="false">F24-MAX(0,F24)*Supuestos!$B$43+F8</f>
        <v>-1401</v>
      </c>
      <c r="G25" s="24" t="n">
        <f aca="false">G24-MAX(0,G24)*Supuestos!$B$43+G8</f>
        <v>-1113.35</v>
      </c>
      <c r="H25" s="24" t="n">
        <f aca="false">H24-MAX(0,H24)*Supuestos!$B$43+H8</f>
        <v>-2170.06625</v>
      </c>
      <c r="I25" s="24" t="n">
        <f aca="false">I24-MAX(0,I24)*Supuestos!$B$43+I8</f>
        <v>-1825.03959375</v>
      </c>
      <c r="J25" s="24" t="n">
        <f aca="false">J24-MAX(0,J24)*Supuestos!$B$43+J8</f>
        <v>1295.63702648438</v>
      </c>
      <c r="K25" s="24" t="n">
        <f aca="false">K24-MAX(0,K24)*Supuestos!$B$43+K8</f>
        <v>2879.26360082227</v>
      </c>
      <c r="L25" s="24" t="n">
        <f aca="false">L24-MAX(0,L24)*Supuestos!$B$43+L8</f>
        <v>4910.40201080171</v>
      </c>
      <c r="M25" s="24" t="n">
        <f aca="false">M24-MAX(0,M24)*Supuestos!$B$43+M8</f>
        <v>7202.36446053167</v>
      </c>
      <c r="N25" s="24" t="n">
        <f aca="false">N24-MAX(0,N24)*Supuestos!$B$43+N8</f>
        <v>7498.63034901838</v>
      </c>
      <c r="O25" s="24" t="n">
        <f aca="false">O24-MAX(0,O24)*Supuestos!$B$43+O8</f>
        <v>9981.23959029292</v>
      </c>
      <c r="P25" s="24" t="n">
        <f aca="false">P24-MAX(0,P24)*Supuestos!$B$43+P8</f>
        <v>12533.3861005356</v>
      </c>
      <c r="Q25" s="24" t="n">
        <f aca="false">Q24-MAX(0,Q24)*Supuestos!$B$43+Q8</f>
        <v>15197.2289480222</v>
      </c>
      <c r="R25" s="24" t="n">
        <f aca="false">R24-MAX(0,R24)*Supuestos!$B$43+R8</f>
        <v>17794.4757243216</v>
      </c>
      <c r="S25" s="24" t="n">
        <f aca="false">S24-MAX(0,S24)*Supuestos!$B$43+S8</f>
        <v>20326.7913312136</v>
      </c>
      <c r="T25" s="24" t="n">
        <f aca="false">T24-MAX(0,T24)*Supuestos!$B$43+T8</f>
        <v>20391.4040479333</v>
      </c>
      <c r="U25" s="24" t="n">
        <f aca="false">U24-MAX(0,U24)*Supuestos!$B$43+U8</f>
        <v>23406.3114467349</v>
      </c>
      <c r="V25" s="24" t="n">
        <f aca="false">V24-MAX(0,V24)*Supuestos!$B$43+V8</f>
        <v>26345.8461605666</v>
      </c>
      <c r="W25" s="24" t="n">
        <f aca="false">W24-MAX(0,W24)*Supuestos!$B$43+W8</f>
        <v>29835.0975065524</v>
      </c>
      <c r="X25" s="24" t="n">
        <f aca="false">X24-MAX(0,X24)*Supuestos!$B$43+X8</f>
        <v>33237.1175688886</v>
      </c>
      <c r="Y25" s="24" t="n">
        <f aca="false">Y24-MAX(0,Y24)*Supuestos!$B$43+Y8</f>
        <v>36554.0871296664</v>
      </c>
      <c r="Z25" s="24" t="n">
        <f aca="false">Z24-MAX(0,Z24)*Supuestos!$B$43+Z8</f>
        <v>38299.7349514247</v>
      </c>
      <c r="AA25" s="24" t="n">
        <f aca="false">AA24-MAX(0,AA24)*Supuestos!$B$43+AA8</f>
        <v>41756.7415776391</v>
      </c>
      <c r="AB25" s="24" t="n">
        <f aca="false">AB24-MAX(0,AB24)*Supuestos!$B$43+AB8</f>
        <v>45127.3230381981</v>
      </c>
      <c r="AC25" s="24" t="n">
        <f aca="false">AC24-MAX(0,AC24)*Supuestos!$B$43+AC8</f>
        <v>48725.2424622431</v>
      </c>
      <c r="AD25" s="24" t="n">
        <f aca="false">AD24-MAX(0,AD24)*Supuestos!$B$43+AD8</f>
        <v>52233.2139006871</v>
      </c>
      <c r="AE25" s="24" t="n">
        <f aca="false">AE24-MAX(0,AE24)*Supuestos!$B$43+AE8</f>
        <v>55653.4860531699</v>
      </c>
    </row>
    <row r="26" customFormat="false" ht="15" hidden="false" customHeight="false" outlineLevel="0" collapsed="false">
      <c r="B26" s="3" t="s">
        <v>123</v>
      </c>
      <c r="C26" s="25" t="n">
        <f aca="false">Supuestos!$B$45+C25</f>
        <v>-1215</v>
      </c>
      <c r="D26" s="25" t="n">
        <f aca="false">C26+D25</f>
        <v>-2421</v>
      </c>
      <c r="E26" s="25" t="n">
        <f aca="false">D26+E25</f>
        <v>-4497</v>
      </c>
      <c r="F26" s="25" t="n">
        <f aca="false">E26+F25</f>
        <v>-5898</v>
      </c>
      <c r="G26" s="25" t="n">
        <f aca="false">F26+G25</f>
        <v>-7011.35</v>
      </c>
      <c r="H26" s="25" t="n">
        <f aca="false">G26+H25</f>
        <v>-9181.41625</v>
      </c>
      <c r="I26" s="25" t="n">
        <f aca="false">H26+I25</f>
        <v>-11006.45584375</v>
      </c>
      <c r="J26" s="25" t="n">
        <f aca="false">I26+J25</f>
        <v>-9710.81881726563</v>
      </c>
      <c r="K26" s="25" t="n">
        <f aca="false">J26+K25</f>
        <v>-6831.55521644336</v>
      </c>
      <c r="L26" s="25" t="n">
        <f aca="false">K26+L25</f>
        <v>-1921.15320564165</v>
      </c>
      <c r="M26" s="25" t="n">
        <f aca="false">L26+M25</f>
        <v>5281.21125489002</v>
      </c>
      <c r="N26" s="25" t="n">
        <f aca="false">M26+N25</f>
        <v>12779.8416039084</v>
      </c>
      <c r="O26" s="25" t="n">
        <f aca="false">N26+O25</f>
        <v>22761.0811942013</v>
      </c>
      <c r="P26" s="25" t="n">
        <f aca="false">O26+P25</f>
        <v>35294.4672947369</v>
      </c>
      <c r="Q26" s="25" t="n">
        <f aca="false">P26+Q25</f>
        <v>50491.6962427591</v>
      </c>
      <c r="R26" s="25" t="n">
        <f aca="false">Q26+R25</f>
        <v>68286.1719670807</v>
      </c>
      <c r="S26" s="25" t="n">
        <f aca="false">R26+S25</f>
        <v>88612.9632982943</v>
      </c>
      <c r="T26" s="25" t="n">
        <f aca="false">S26+T25</f>
        <v>109004.367346228</v>
      </c>
      <c r="U26" s="25" t="n">
        <f aca="false">T26+U25</f>
        <v>132410.678792963</v>
      </c>
      <c r="V26" s="25" t="n">
        <f aca="false">U26+V25</f>
        <v>158756.524953529</v>
      </c>
      <c r="W26" s="25" t="n">
        <f aca="false">V26+W25</f>
        <v>188591.622460082</v>
      </c>
      <c r="X26" s="25" t="n">
        <f aca="false">W26+X25</f>
        <v>221828.74002897</v>
      </c>
      <c r="Y26" s="25" t="n">
        <f aca="false">X26+Y25</f>
        <v>258382.827158636</v>
      </c>
      <c r="Z26" s="25" t="n">
        <f aca="false">Y26+Z25</f>
        <v>296682.562110061</v>
      </c>
      <c r="AA26" s="25" t="n">
        <f aca="false">Z26+AA25</f>
        <v>338439.3036877</v>
      </c>
      <c r="AB26" s="25" t="n">
        <f aca="false">AA26+AB25</f>
        <v>383566.626725898</v>
      </c>
      <c r="AC26" s="25" t="n">
        <f aca="false">AB26+AC25</f>
        <v>432291.869188141</v>
      </c>
      <c r="AD26" s="25" t="n">
        <f aca="false">AC26+AD25</f>
        <v>484525.083088829</v>
      </c>
      <c r="AE26" s="25" t="n">
        <f aca="false">AD26+AE25</f>
        <v>540178.569141998</v>
      </c>
    </row>
    <row r="29" customFormat="false" ht="15" hidden="false" customHeight="false" outlineLevel="0" collapsed="false">
      <c r="B29" s="17" t="s">
        <v>136</v>
      </c>
      <c r="C29" s="18" t="s">
        <v>15</v>
      </c>
      <c r="D29" s="18" t="s">
        <v>16</v>
      </c>
      <c r="E29" s="18" t="s">
        <v>17</v>
      </c>
    </row>
    <row r="30" customFormat="false" ht="15" hidden="false" customHeight="false" outlineLevel="0" collapsed="false">
      <c r="B30" s="6" t="s">
        <v>137</v>
      </c>
      <c r="C30" s="13" t="n">
        <f aca="false">S11</f>
        <v>23712.7024817243</v>
      </c>
      <c r="D30" s="13" t="n">
        <f aca="false">S17</f>
        <v>16279.1232448965</v>
      </c>
      <c r="E30" s="13" t="n">
        <f aca="false">S23</f>
        <v>32018.3776066715</v>
      </c>
    </row>
    <row r="31" customFormat="false" ht="15" hidden="false" customHeight="false" outlineLevel="0" collapsed="false">
      <c r="B31" s="6" t="s">
        <v>138</v>
      </c>
      <c r="C31" s="13" t="n">
        <f aca="false">AE11</f>
        <v>60503.3288185429</v>
      </c>
      <c r="D31" s="13" t="n">
        <f aca="false">AE17</f>
        <v>41536.4358964427</v>
      </c>
      <c r="E31" s="13" t="n">
        <f aca="false">AE23</f>
        <v>81695.387949381</v>
      </c>
    </row>
    <row r="32" customFormat="false" ht="15" hidden="false" customHeight="false" outlineLevel="0" collapsed="false">
      <c r="B32" s="6" t="s">
        <v>139</v>
      </c>
      <c r="C32" s="13" t="n">
        <f aca="false">SUM(C11:AE11)</f>
        <v>653009.948576827</v>
      </c>
      <c r="D32" s="13" t="n">
        <f aca="false">SUM(C17:AE17)</f>
        <v>448304.759726233</v>
      </c>
      <c r="E32" s="13" t="n">
        <f aca="false">SUM(C23:AE23)</f>
        <v>881730.82997414</v>
      </c>
    </row>
    <row r="33" customFormat="false" ht="15" hidden="false" customHeight="false" outlineLevel="0" collapsed="false">
      <c r="B33" s="6" t="s">
        <v>140</v>
      </c>
      <c r="C33" s="13" t="n">
        <f aca="false">AE14</f>
        <v>344547.278359796</v>
      </c>
      <c r="D33" s="13" t="n">
        <f aca="false">AE20</f>
        <v>169329.389921772</v>
      </c>
      <c r="E33" s="13" t="n">
        <f aca="false">AE26</f>
        <v>540178.569141998</v>
      </c>
    </row>
    <row r="34" customFormat="false" ht="15" hidden="false" customHeight="false" outlineLevel="0" collapsed="false">
      <c r="B34" s="6" t="s">
        <v>141</v>
      </c>
      <c r="C34" s="13" t="n">
        <f aca="false">MIN(C14:AE14)</f>
        <v>-11755.82771875</v>
      </c>
      <c r="D34" s="13" t="n">
        <f aca="false">MIN(C20:AE20)</f>
        <v>-13705.3474264063</v>
      </c>
      <c r="E34" s="13" t="n">
        <f aca="false">MIN(C26:AE26)</f>
        <v>-11006.45584375</v>
      </c>
    </row>
    <row r="35" customFormat="false" ht="15" hidden="false" customHeight="false" outlineLevel="0" collapsed="false">
      <c r="B35" s="6" t="s">
        <v>142</v>
      </c>
      <c r="C35" s="26" t="n">
        <f aca="false">COUNTIF(C13:AE13,"&lt;0")</f>
        <v>7</v>
      </c>
      <c r="D35" s="26" t="n">
        <f aca="false">COUNTIF(C19:AE19,"&lt;0")</f>
        <v>9</v>
      </c>
      <c r="E35" s="26" t="n">
        <f aca="false">COUNTIF(C25:AE25,"&lt;0")</f>
        <v>7</v>
      </c>
    </row>
    <row r="36" customFormat="false" ht="15" hidden="false" customHeight="false" outlineLevel="0" collapsed="false">
      <c r="B36" s="6" t="s">
        <v>143</v>
      </c>
      <c r="C36" s="27" t="n">
        <f aca="false">IFERROR((1+IRR(C13:AE13))^12-1,"n/a")</f>
        <v>12.1164594124399</v>
      </c>
      <c r="D36" s="27" t="n">
        <f aca="false">IFERROR((1+IRR(C19:AE19))^12-1,"n/a")</f>
        <v>5.15933348877707</v>
      </c>
      <c r="E36" s="27" t="n">
        <f aca="false">IFERROR((1+IRR(C25:AE25))^12-1,"n/a")</f>
        <v>21.7567556075836</v>
      </c>
    </row>
    <row r="37" customFormat="false" ht="15" hidden="false" customHeight="false" outlineLevel="0" collapsed="false">
      <c r="B37" s="6" t="s">
        <v>144</v>
      </c>
      <c r="C37" s="13" t="n">
        <f aca="false">NPV((1+Supuestos!$B$44)^(1/12)-1,C13:AE13)</f>
        <v>262234.620609978</v>
      </c>
      <c r="D37" s="13" t="n">
        <f aca="false">NPV((1+Supuestos!$B$44)^(1/12)-1,C19:AE19)</f>
        <v>126597.209121941</v>
      </c>
      <c r="E37" s="13" t="n">
        <f aca="false">NPV((1+Supuestos!$B$44)^(1/12)-1,C25:AE25)</f>
        <v>413654.94392003</v>
      </c>
    </row>
    <row r="39" customFormat="false" ht="15" hidden="false" customHeight="false" outlineLevel="0" collapsed="false">
      <c r="B39" s="2" t="s">
        <v>145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6"/>
    <col collapsed="false" customWidth="true" hidden="false" outlineLevel="0" max="3" min="3" style="0" width="58"/>
  </cols>
  <sheetData>
    <row r="1" customFormat="false" ht="16.15" hidden="false" customHeight="false" outlineLevel="0" collapsed="false">
      <c r="A1" s="1" t="s">
        <v>146</v>
      </c>
    </row>
    <row r="3" customFormat="false" ht="15" hidden="false" customHeight="false" outlineLevel="0" collapsed="false">
      <c r="A3" s="7" t="s">
        <v>147</v>
      </c>
      <c r="B3" s="7"/>
      <c r="C3" s="7"/>
    </row>
    <row r="4" customFormat="false" ht="15" hidden="false" customHeight="false" outlineLevel="0" collapsed="false">
      <c r="A4" s="6" t="s">
        <v>143</v>
      </c>
      <c r="B4" s="27" t="n">
        <f aca="false">IFERROR((1+IRR('Flujo mensual'!C37:AE37))^12-1,"n/a")</f>
        <v>12.1164594124399</v>
      </c>
      <c r="C4" s="2" t="s">
        <v>148</v>
      </c>
    </row>
    <row r="5" customFormat="false" ht="15" hidden="false" customHeight="false" outlineLevel="0" collapsed="false">
      <c r="A5" s="6" t="s">
        <v>149</v>
      </c>
      <c r="B5" s="13" t="n">
        <f aca="false">NPV((1+Supuestos!$B$44)^(1/12)-1,'Flujo mensual'!C37:AE37)</f>
        <v>262234.620609978</v>
      </c>
    </row>
    <row r="6" customFormat="false" ht="15" hidden="false" customHeight="false" outlineLevel="0" collapsed="false">
      <c r="A6" s="7" t="s">
        <v>150</v>
      </c>
      <c r="B6" s="7"/>
      <c r="C6" s="7"/>
    </row>
    <row r="7" customFormat="false" ht="15" hidden="false" customHeight="false" outlineLevel="0" collapsed="false">
      <c r="A7" s="6" t="s">
        <v>151</v>
      </c>
      <c r="B7" s="28" t="n">
        <f aca="false">'Flujo mensual'!S15</f>
        <v>83.056751249472</v>
      </c>
    </row>
    <row r="8" customFormat="false" ht="15" hidden="false" customHeight="false" outlineLevel="0" collapsed="false">
      <c r="A8" s="6"/>
      <c r="B8" s="28" t="n">
        <f aca="false">'Flujo mensual'!AE15</f>
        <v>211.920591308381</v>
      </c>
    </row>
    <row r="9" customFormat="false" ht="15" hidden="false" customHeight="false" outlineLevel="0" collapsed="false">
      <c r="A9" s="6" t="s">
        <v>152</v>
      </c>
      <c r="B9" s="13" t="n">
        <f aca="false">'Flujo mensual'!S22</f>
        <v>23712.7024817243</v>
      </c>
    </row>
    <row r="10" customFormat="false" ht="15" hidden="false" customHeight="false" outlineLevel="0" collapsed="false">
      <c r="A10" s="6"/>
      <c r="B10" s="13" t="n">
        <f aca="false">'Flujo mensual'!AE22</f>
        <v>60503.3288185429</v>
      </c>
    </row>
    <row r="11" customFormat="false" ht="15" hidden="false" customHeight="false" outlineLevel="0" collapsed="false">
      <c r="A11" s="6" t="s">
        <v>153</v>
      </c>
      <c r="B11" s="13" t="n">
        <f aca="false">'Flujo mensual'!AE22*12</f>
        <v>726039.945822514</v>
      </c>
    </row>
    <row r="12" customFormat="false" ht="15" hidden="false" customHeight="false" outlineLevel="0" collapsed="false">
      <c r="A12" s="7" t="s">
        <v>154</v>
      </c>
      <c r="B12" s="7"/>
      <c r="C12" s="7"/>
    </row>
    <row r="13" customFormat="false" ht="15" hidden="false" customHeight="false" outlineLevel="0" collapsed="false">
      <c r="A13" s="6" t="s">
        <v>141</v>
      </c>
      <c r="B13" s="13" t="n">
        <f aca="false">MIN('Flujo mensual'!C38:AE38)</f>
        <v>-11755.82771875</v>
      </c>
      <c r="C13" s="2" t="s">
        <v>155</v>
      </c>
    </row>
    <row r="14" customFormat="false" ht="15" hidden="false" customHeight="false" outlineLevel="0" collapsed="false">
      <c r="A14" s="6" t="s">
        <v>156</v>
      </c>
      <c r="B14" s="29" t="str">
        <f aca="false">INDEX('Flujo mensual'!C4:AE4,MATCH(MIN('Flujo mensual'!C38:AE38),'Flujo mensual'!C38:AE38,0))</f>
        <v>feb-27</v>
      </c>
    </row>
    <row r="15" customFormat="false" ht="15" hidden="false" customHeight="false" outlineLevel="0" collapsed="false">
      <c r="A15" s="6" t="s">
        <v>140</v>
      </c>
      <c r="B15" s="13" t="n">
        <f aca="false">'Flujo mensual'!AE38</f>
        <v>344547.278359796</v>
      </c>
    </row>
    <row r="16" customFormat="false" ht="15" hidden="false" customHeight="false" outlineLevel="0" collapsed="false">
      <c r="A16" s="6" t="s">
        <v>157</v>
      </c>
      <c r="B16" s="13" t="n">
        <f aca="false">-SUM('Flujo mensual'!C30:AE30)</f>
        <v>10670.1492286524</v>
      </c>
    </row>
    <row r="17" customFormat="false" ht="15" hidden="false" customHeight="false" outlineLevel="0" collapsed="false">
      <c r="A17" s="6" t="s">
        <v>158</v>
      </c>
      <c r="B17" s="13" t="n">
        <f aca="false">SUM('Flujo mensual'!C10:AE10)</f>
        <v>158000</v>
      </c>
      <c r="C17" s="2" t="s">
        <v>159</v>
      </c>
    </row>
    <row r="18" customFormat="false" ht="15" hidden="false" customHeight="false" outlineLevel="0" collapsed="false">
      <c r="A18" s="6" t="s">
        <v>160</v>
      </c>
      <c r="B18" s="27" t="n">
        <f aca="false">'Flujo mensual'!AE24/'Flujo mensual'!AE22</f>
        <v>0.894947460595447</v>
      </c>
    </row>
    <row r="20" customFormat="false" ht="15" hidden="false" customHeight="false" outlineLevel="0" collapsed="false">
      <c r="A20" s="2" t="s">
        <v>161</v>
      </c>
    </row>
  </sheetData>
  <mergeCells count="3">
    <mergeCell ref="A3:C3"/>
    <mergeCell ref="A6:C6"/>
    <mergeCell ref="A12:C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2026-08-06T00:00:07Z</dcterms:created>
  <dc:creator>openpyxl</dc:creator>
  <dc:description/>
  <dc:language>en-US</dc:language>
  <cp:lastModifiedBy/>
  <dcterms:modified xsi:type="dcterms:W3CDTF">2026-08-06T00:00:07Z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